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nsonerik\Desktop\1.1 C&amp;I Tools\"/>
    </mc:Choice>
  </mc:AlternateContent>
  <xr:revisionPtr revIDLastSave="0" documentId="13_ncr:1_{6B9E19B8-C1FF-43BE-B81F-E92CBFEC42C8}" xr6:coauthVersionLast="47" xr6:coauthVersionMax="47" xr10:uidLastSave="{00000000-0000-0000-0000-000000000000}"/>
  <workbookProtection workbookAlgorithmName="SHA-512" workbookHashValue="QR0Au5VRfUS+7npTHTmfM7eEKV+7FMuRCDdEmGS35BS/Atyv6dNv8bjneZumelSObkI7fKoy26qyH6Dtybhezg==" workbookSaltValue="/7UZfZ6lqLaU3zLe93CpaA==" workbookSpinCount="100000" lockStructure="1"/>
  <bookViews>
    <workbookView xWindow="-120" yWindow="-120" windowWidth="29040" windowHeight="15840" tabRatio="318" xr2:uid="{5AED0BD6-FF81-482A-8BE0-14146C818A70}"/>
  </bookViews>
  <sheets>
    <sheet name="Summary" sheetId="6" r:id="rId1"/>
    <sheet name="Guidelines" sheetId="4" r:id="rId2"/>
    <sheet name="Boiler Input" sheetId="1" r:id="rId3"/>
    <sheet name="Boiler Calc" sheetId="2" state="hidden" r:id="rId4"/>
    <sheet name="Buildings" sheetId="7" state="hidden" r:id="rId5"/>
  </sheets>
  <externalReferences>
    <externalReference r:id="rId6"/>
    <externalReference r:id="rId7"/>
  </externalReferences>
  <definedNames>
    <definedName name="Acct_No">'[1]Project Summary'!$B$14</definedName>
    <definedName name="Air_Cooled">'[1]Measure&amp;Incentive Picklist'!#REF!</definedName>
    <definedName name="BoilerFW">#REF!</definedName>
    <definedName name="Building_Type">'[2]Pipe Insulation'!$G$8</definedName>
    <definedName name="CHW">#REF!</definedName>
    <definedName name="CI_Custom_Incentive_USD_per_therm">'[2]Incentive Structure'!$E$14</definedName>
    <definedName name="Con_Edison_Program">'[2]Pipe Insulation'!$G$7</definedName>
    <definedName name="Cust_Name">'[1]Project Summary'!#REF!</definedName>
    <definedName name="Custom_Ambient_Temp_degF">'[2]Pipe Insulation'!#REF!</definedName>
    <definedName name="Custom_EFLH">'[2]Pipe Insulation'!#REF!</definedName>
    <definedName name="Custom_Pipe_Temp_degF">'[2]Pipe Insulation'!#REF!</definedName>
    <definedName name="CW">#REF!</definedName>
    <definedName name="Daylight_Control">'[1]Measure&amp;Incentive Picklist'!#REF!</definedName>
    <definedName name="Error_Check_Totalizer">'[2]Pipe Insulation'!$Z$19</definedName>
    <definedName name="Exh">#REF!</definedName>
    <definedName name="Facility_Size">Buildings!$K$1</definedName>
    <definedName name="Facility_Type">Buildings!$K$2</definedName>
    <definedName name="File_Completion_Date">#REF!</definedName>
    <definedName name="GTE11.25_LT20tons">'[1]Measure&amp;Incentive Picklist'!#REF!</definedName>
    <definedName name="GTE5.4_LT11.25tons">'[1]Measure&amp;Incentive Picklist'!#REF!</definedName>
    <definedName name="HW">#REF!</definedName>
    <definedName name="Large">#REF!</definedName>
    <definedName name="LED_Fixture">'[1]Measure&amp;Incentive Picklist'!#REF!</definedName>
    <definedName name="LED_Interior">'[1]Measure&amp;Incentive Picklist'!#REF!</definedName>
    <definedName name="LED_Lamp">'[1]Measure&amp;Incentive Picklist'!#REF!</definedName>
    <definedName name="LED_Retrofit">'[1]Measure&amp;Incentive Picklist'!#REF!</definedName>
    <definedName name="ListBuildingClass">#REF!</definedName>
    <definedName name="ListBuildingTypeAge">#REF!</definedName>
    <definedName name="ListFacilitySize">'Boiler Calc'!$Q$22:$Q$23</definedName>
    <definedName name="ListFacilityType">'Boiler Calc'!$P$22:$P$43</definedName>
    <definedName name="ListPipeDiameterPicklist">[2]!TablePipeDiameterPicklist[Filtered Pipe Diameters]</definedName>
    <definedName name="ListSystemApplicationDropdown">[2]!TableSystemApplicationDropdown[Filtered System Application]</definedName>
    <definedName name="ListSystemType">'Boiler Calc'!$O$22:$O$26</definedName>
    <definedName name="LT_5.4tons">'[1]Measure&amp;Incentive Picklist'!#REF!</definedName>
    <definedName name="MAF">#REF!</definedName>
    <definedName name="MFD">#REF!</definedName>
    <definedName name="Occupancy_Control">'[1]Measure&amp;Incentive Picklist'!#REF!</definedName>
    <definedName name="ODP_1200RPM">'[1]Measure&amp;Incentive Picklist'!#REF!</definedName>
    <definedName name="ODP_1800RPM">'[1]Measure&amp;Incentive Picklist'!#REF!</definedName>
    <definedName name="ODP_3600RPM">'[1]Measure&amp;Incentive Picklist'!#REF!</definedName>
    <definedName name="Other">'[1]Measure&amp;Incentive Picklist'!#REF!</definedName>
    <definedName name="Other_Control">'[1]Measure&amp;Incentive Picklist'!#REF!</definedName>
    <definedName name="p">#REF!</definedName>
    <definedName name="Parking">#REF!</definedName>
    <definedName name="Return">#REF!</definedName>
    <definedName name="Small">#REF!</definedName>
    <definedName name="Supply">#REF!</definedName>
    <definedName name="System_Type">Buildings!$K$3</definedName>
    <definedName name="TEFC_1200RPM">'[1]Measure&amp;Incentive Picklist'!#REF!</definedName>
    <definedName name="TEFC_1800RPM">'[1]Measure&amp;Incentive Picklist'!#REF!</definedName>
    <definedName name="TEFC_3600RPM">'[1]Measure&amp;Incentive Picklist'!#REF!</definedName>
    <definedName name="Total_Savings__Therms">'Boiler Calc'!$B$22</definedName>
    <definedName name="Tower">#REF!</definedName>
    <definedName name="Warehouse">#REF!</definedName>
    <definedName name="WLH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7" l="1"/>
  <c r="K1" i="7"/>
  <c r="H26" i="6" l="1"/>
  <c r="F26" i="6" l="1"/>
  <c r="K3" i="7" l="1"/>
  <c r="I15" i="1" l="1"/>
  <c r="J15" i="1" s="1"/>
  <c r="D16" i="6" l="1"/>
  <c r="D17" i="6"/>
  <c r="D18" i="6"/>
  <c r="D19" i="6"/>
  <c r="D20" i="6"/>
  <c r="D21" i="6"/>
  <c r="D22" i="6"/>
  <c r="D23" i="6"/>
  <c r="D24" i="6"/>
  <c r="D15" i="6"/>
  <c r="C16" i="6"/>
  <c r="C17" i="6"/>
  <c r="C18" i="6"/>
  <c r="E18" i="6" s="1"/>
  <c r="H18" i="6" s="1"/>
  <c r="C19" i="6"/>
  <c r="E19" i="6" s="1"/>
  <c r="H19" i="6" s="1"/>
  <c r="C20" i="6"/>
  <c r="E20" i="6" s="1"/>
  <c r="H20" i="6" s="1"/>
  <c r="C21" i="6"/>
  <c r="E21" i="6" s="1"/>
  <c r="H21" i="6" s="1"/>
  <c r="C22" i="6"/>
  <c r="E22" i="6" s="1"/>
  <c r="H22" i="6" s="1"/>
  <c r="C23" i="6"/>
  <c r="E23" i="6" s="1"/>
  <c r="H23" i="6" s="1"/>
  <c r="C24" i="6"/>
  <c r="E24" i="6" s="1"/>
  <c r="H24" i="6" s="1"/>
  <c r="C15" i="6"/>
  <c r="A10" i="2"/>
  <c r="A11" i="2"/>
  <c r="B10" i="2"/>
  <c r="B11" i="2"/>
  <c r="F10" i="2"/>
  <c r="F11" i="2"/>
  <c r="I16" i="1"/>
  <c r="C5" i="2" s="1"/>
  <c r="I17" i="1"/>
  <c r="C6" i="2" s="1"/>
  <c r="I18" i="1"/>
  <c r="C7" i="2" s="1"/>
  <c r="I19" i="1"/>
  <c r="C8" i="2" s="1"/>
  <c r="I20" i="1"/>
  <c r="C9" i="2" s="1"/>
  <c r="I21" i="1"/>
  <c r="C10" i="2" s="1"/>
  <c r="I22" i="1"/>
  <c r="C11" i="2" s="1"/>
  <c r="I23" i="1"/>
  <c r="C12" i="2" s="1"/>
  <c r="I24" i="1"/>
  <c r="C13" i="2" s="1"/>
  <c r="J24" i="1" l="1"/>
  <c r="D13" i="2" s="1"/>
  <c r="J23" i="1"/>
  <c r="D12" i="2" s="1"/>
  <c r="J22" i="1"/>
  <c r="D11" i="2" s="1"/>
  <c r="J21" i="1"/>
  <c r="D10" i="2" s="1"/>
  <c r="J20" i="1"/>
  <c r="D9" i="2" s="1"/>
  <c r="J19" i="1"/>
  <c r="D8" i="2" s="1"/>
  <c r="J18" i="1"/>
  <c r="D7" i="2" s="1"/>
  <c r="J17" i="1"/>
  <c r="D6" i="2" s="1"/>
  <c r="J16" i="1"/>
  <c r="D5" i="2" s="1"/>
  <c r="K9" i="7" l="1"/>
  <c r="D4" i="2"/>
  <c r="L19" i="2" l="1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G15" i="1" l="1"/>
  <c r="M15" i="1" s="1"/>
  <c r="G19" i="1"/>
  <c r="M19" i="1" s="1"/>
  <c r="N19" i="1" s="1"/>
  <c r="G23" i="1"/>
  <c r="M23" i="1" s="1"/>
  <c r="N23" i="1" s="1"/>
  <c r="G16" i="1"/>
  <c r="M16" i="1" s="1"/>
  <c r="N16" i="1" s="1"/>
  <c r="G22" i="1"/>
  <c r="M22" i="1" s="1"/>
  <c r="N22" i="1" s="1"/>
  <c r="G20" i="1"/>
  <c r="M20" i="1" s="1"/>
  <c r="N20" i="1" s="1"/>
  <c r="G24" i="1"/>
  <c r="M24" i="1" s="1"/>
  <c r="N24" i="1" s="1"/>
  <c r="G17" i="1"/>
  <c r="M17" i="1" s="1"/>
  <c r="N17" i="1" s="1"/>
  <c r="G18" i="1"/>
  <c r="M18" i="1" s="1"/>
  <c r="N18" i="1" s="1"/>
  <c r="G21" i="1"/>
  <c r="M21" i="1" s="1"/>
  <c r="N21" i="1" s="1"/>
  <c r="F4" i="2"/>
  <c r="F5" i="2"/>
  <c r="F6" i="2"/>
  <c r="F7" i="2"/>
  <c r="F8" i="2"/>
  <c r="F9" i="2"/>
  <c r="F12" i="2"/>
  <c r="F13" i="2"/>
  <c r="E11" i="2" l="1"/>
  <c r="G11" i="2" s="1"/>
  <c r="G22" i="6" s="1"/>
  <c r="E10" i="2"/>
  <c r="G10" i="2" s="1"/>
  <c r="G21" i="6" s="1"/>
  <c r="N15" i="1"/>
  <c r="N27" i="1" s="1"/>
  <c r="M27" i="1"/>
  <c r="E4" i="2"/>
  <c r="E5" i="2"/>
  <c r="E6" i="2"/>
  <c r="E7" i="2"/>
  <c r="E8" i="2"/>
  <c r="E9" i="2"/>
  <c r="E12" i="2"/>
  <c r="E13" i="2"/>
  <c r="C4" i="2"/>
  <c r="B4" i="2"/>
  <c r="B5" i="2"/>
  <c r="B6" i="2"/>
  <c r="B7" i="2"/>
  <c r="B8" i="2"/>
  <c r="B9" i="2"/>
  <c r="B12" i="2"/>
  <c r="B13" i="2"/>
  <c r="A4" i="2"/>
  <c r="A5" i="2"/>
  <c r="A6" i="2"/>
  <c r="A7" i="2"/>
  <c r="A8" i="2"/>
  <c r="A9" i="2"/>
  <c r="A12" i="2"/>
  <c r="A13" i="2"/>
  <c r="G9" i="2" l="1"/>
  <c r="G20" i="6" s="1"/>
  <c r="G5" i="2"/>
  <c r="G12" i="2"/>
  <c r="G23" i="6" s="1"/>
  <c r="G6" i="2"/>
  <c r="G8" i="2"/>
  <c r="G19" i="6" s="1"/>
  <c r="G4" i="2"/>
  <c r="E15" i="6" s="1"/>
  <c r="H15" i="6" s="1"/>
  <c r="G13" i="2"/>
  <c r="G24" i="6" s="1"/>
  <c r="G7" i="2"/>
  <c r="G18" i="6" s="1"/>
  <c r="E17" i="6" l="1"/>
  <c r="E16" i="6"/>
  <c r="H16" i="6" s="1"/>
  <c r="G15" i="6"/>
  <c r="G14" i="2"/>
  <c r="G17" i="6" l="1"/>
  <c r="H17" i="6"/>
  <c r="E26" i="6"/>
  <c r="G16" i="6"/>
  <c r="G26" i="6" l="1"/>
</calcChain>
</file>

<file path=xl/sharedStrings.xml><?xml version="1.0" encoding="utf-8"?>
<sst xmlns="http://schemas.openxmlformats.org/spreadsheetml/2006/main" count="384" uniqueCount="175">
  <si>
    <t>Facility Name</t>
  </si>
  <si>
    <t>Facility Address</t>
  </si>
  <si>
    <t>Facility Rep. Name</t>
  </si>
  <si>
    <t>Building Type</t>
  </si>
  <si>
    <t>HVAC System Type</t>
  </si>
  <si>
    <t>Summary Table</t>
  </si>
  <si>
    <t>Boiler Make &amp; Model</t>
  </si>
  <si>
    <t>Location</t>
  </si>
  <si>
    <r>
      <t xml:space="preserve">Estimated Therms Saved 
</t>
    </r>
    <r>
      <rPr>
        <sz val="11"/>
        <color theme="1"/>
        <rFont val="Calibri"/>
        <family val="2"/>
        <scheme val="minor"/>
      </rPr>
      <t>*Actual savings will be based on performance data measured during post inspection</t>
    </r>
    <r>
      <rPr>
        <b/>
        <sz val="11"/>
        <color theme="1"/>
        <rFont val="Calibri"/>
        <family val="2"/>
        <scheme val="minor"/>
      </rPr>
      <t>*</t>
    </r>
  </si>
  <si>
    <t>Estimated Tune-Up Cost ($)</t>
  </si>
  <si>
    <t>Estimated Incentive ($)</t>
  </si>
  <si>
    <t>Building Type for Peak Day Therms</t>
  </si>
  <si>
    <t>Total</t>
  </si>
  <si>
    <t>For Internal Use Only</t>
  </si>
  <si>
    <t>Tool version</t>
  </si>
  <si>
    <t>Tool version date</t>
  </si>
  <si>
    <t>Instructions</t>
  </si>
  <si>
    <t xml:space="preserve">Welcome to the Boiler Clean &amp; Tune Calculator.  Above is a summary table that captures the tune-up for the boiler(s) in the facility.  Please see the Guidelines on the next tab for what project documentation is required for Boiler Tune-Ups.  </t>
  </si>
  <si>
    <t>Please see the Boiler Input tab and fill in information about each boiler including the boiler make and model, location, boiler type, end use, input rating and hours of operation.</t>
  </si>
  <si>
    <t>Projects applying for this measure must comply with all applicable requirements listed below.</t>
  </si>
  <si>
    <t>Required Project Documentation</t>
  </si>
  <si>
    <t>All projects must provide the following documentation.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</si>
  <si>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mbria"/>
        <family val="1"/>
      </rPr>
      <t>Commercial &amp; Industrial Program application package</t>
    </r>
    <r>
      <rPr>
        <sz val="11"/>
        <color theme="1"/>
        <rFont val="Cambria"/>
        <family val="1"/>
      </rPr>
      <t>. In the application scope of work, submit the following: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</si>
  <si>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Con Ed Boiler Clean And Tune Worksheet, including:</t>
    </r>
  </si>
  <si>
    <r>
      <t>i.</t>
    </r>
    <r>
      <rPr>
        <sz val="7"/>
        <color theme="1"/>
        <rFont val="Times New Roman"/>
        <family val="1"/>
      </rPr>
      <t xml:space="preserve">       </t>
    </r>
    <r>
      <rPr>
        <sz val="11"/>
        <color theme="1"/>
        <rFont val="Cambria"/>
        <family val="1"/>
      </rPr>
      <t>Building Type, HVAC Type</t>
    </r>
  </si>
  <si>
    <r>
      <t>ii.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Boiler Type, Input capacity of each boiler</t>
    </r>
  </si>
  <si>
    <r>
      <t>iii.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mbria"/>
        <family val="1"/>
      </rPr>
      <t>End use, i.e. space heating, process loads</t>
    </r>
    <r>
      <rPr>
        <sz val="11"/>
        <color rgb="FFFF0000"/>
        <rFont val="Cambria"/>
        <family val="1"/>
      </rPr>
      <t xml:space="preserve"> (DHW does not qualify)</t>
    </r>
  </si>
  <si>
    <t>iv.   Annual Hours of operation (required for Process Loads)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</si>
  <si>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Cost proposal for the associated measure from the contractor performing the work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</si>
  <si>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Scheduled date for the work to be completed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</si>
  <si>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Include the following additional information as attachments to your program application: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</si>
  <si>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Photos of boiler nameplate information, including input capacity, model number, etc.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</si>
  <si>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BMS Screenshot of all boilers connected to the boiler plant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</si>
  <si>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Information regarding contractor that will be performing the work, including company name, and plumbing license number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</si>
  <si>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During the installation phase, the following will be recorded and then submitted with the completion paperwork</t>
    </r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</si>
  <si>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Existing boiler combustion efficiency based on flue gas test prior to performing the tune-up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</si>
  <si>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New boiler combustion efficiency based on flue gas test after tune-up measure has been implemented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</si>
  <si>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Submit supporting documentation from flue gas test, including but not limited to stack temperature, ambient air temperature, percentage of Oxygen, Carbon Dioxide, etc.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</si>
  <si>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mbria"/>
        <family val="1"/>
      </rPr>
      <t>Invoice detailing project costs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</si>
  <si>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mbria"/>
        <family val="1"/>
      </rPr>
      <t>At Final Technical Review, the Con Ed Technical Review Team will revise the energy savings based on the pre and post flue gas test readings</t>
    </r>
  </si>
  <si>
    <t>Engineer Enters</t>
  </si>
  <si>
    <t>End Use (select one)</t>
  </si>
  <si>
    <t>Boiler Type (select one)</t>
  </si>
  <si>
    <t>Fuel Input Rating (MBH)</t>
  </si>
  <si>
    <t>Annual Hours of Operation (required for Process Loads)</t>
  </si>
  <si>
    <t>Equivalent Full-Load Heating Hours</t>
  </si>
  <si>
    <t>Load Factor</t>
  </si>
  <si>
    <t>Pre-Tune Min code Boiler Efficiency</t>
  </si>
  <si>
    <t>Post-Tune Min Code Boiler Efficiency</t>
  </si>
  <si>
    <t>Actual Pre-Tune Boiler Efficiency</t>
  </si>
  <si>
    <t>Actual Post-Tune Boiler Efficiency</t>
  </si>
  <si>
    <t>Actual Therm Savings</t>
  </si>
  <si>
    <t>Actual Incentive</t>
  </si>
  <si>
    <t>Tune-Up Boiler Table</t>
  </si>
  <si>
    <t>Boiler</t>
  </si>
  <si>
    <t>Size MBH</t>
  </si>
  <si>
    <t>Pre_Eff</t>
  </si>
  <si>
    <t>Post_Eff</t>
  </si>
  <si>
    <t>EFLH</t>
  </si>
  <si>
    <t>LF</t>
  </si>
  <si>
    <t>Total Consumption Therms</t>
  </si>
  <si>
    <t>Facility Size</t>
  </si>
  <si>
    <t>Facility Type</t>
  </si>
  <si>
    <t>System</t>
  </si>
  <si>
    <t>ConCatenatedName</t>
  </si>
  <si>
    <t>EFLH_Heating</t>
  </si>
  <si>
    <t>Small Commercial</t>
  </si>
  <si>
    <t>Assembly</t>
  </si>
  <si>
    <t>N/A</t>
  </si>
  <si>
    <t>AutoRepair</t>
  </si>
  <si>
    <t>BigBoxRetail</t>
  </si>
  <si>
    <t>System Type</t>
  </si>
  <si>
    <t>FastFoodRestaurant</t>
  </si>
  <si>
    <t xml:space="preserve">Assembly </t>
  </si>
  <si>
    <t>FullServiceRestaurant</t>
  </si>
  <si>
    <t>CAV econ</t>
  </si>
  <si>
    <t xml:space="preserve">Auto Repair </t>
  </si>
  <si>
    <t>Large Commercial</t>
  </si>
  <si>
    <t>Grocery</t>
  </si>
  <si>
    <t>CAV noecon</t>
  </si>
  <si>
    <t xml:space="preserve">Big Box Retail </t>
  </si>
  <si>
    <t>LightIndustrial</t>
  </si>
  <si>
    <t>VAV econ</t>
  </si>
  <si>
    <t xml:space="preserve">Fast Food Restaurant </t>
  </si>
  <si>
    <t>Motel</t>
  </si>
  <si>
    <t>Fan Coil</t>
  </si>
  <si>
    <t xml:space="preserve">Full Service Restaurant </t>
  </si>
  <si>
    <t>PrimarySchool</t>
  </si>
  <si>
    <t xml:space="preserve">Grocery </t>
  </si>
  <si>
    <t>ReligiousWorship</t>
  </si>
  <si>
    <t xml:space="preserve">Light Industrial </t>
  </si>
  <si>
    <t>SmallOffice</t>
  </si>
  <si>
    <t xml:space="preserve">Motel </t>
  </si>
  <si>
    <t>SmallRetail</t>
  </si>
  <si>
    <t xml:space="preserve">Primary School </t>
  </si>
  <si>
    <t>Warehouse</t>
  </si>
  <si>
    <t xml:space="preserve">Religious Worship </t>
  </si>
  <si>
    <t>Other</t>
  </si>
  <si>
    <t xml:space="preserve">Small Office </t>
  </si>
  <si>
    <t>CommunityCollege</t>
  </si>
  <si>
    <t xml:space="preserve">Small Retail </t>
  </si>
  <si>
    <t xml:space="preserve">Warehouse </t>
  </si>
  <si>
    <t xml:space="preserve">Other </t>
  </si>
  <si>
    <t>Dormitory</t>
  </si>
  <si>
    <t>Community College</t>
  </si>
  <si>
    <t>HighSchool</t>
  </si>
  <si>
    <t>High School</t>
  </si>
  <si>
    <t>Hospital</t>
  </si>
  <si>
    <t>Hotel</t>
  </si>
  <si>
    <t>Large Office</t>
  </si>
  <si>
    <t>Large Retail</t>
  </si>
  <si>
    <t>University</t>
  </si>
  <si>
    <t>LargeOffice</t>
  </si>
  <si>
    <t>LargeRetail</t>
  </si>
  <si>
    <t>TRM Cateogory</t>
  </si>
  <si>
    <t>Building Class</t>
  </si>
  <si>
    <t>Boiler Type</t>
  </si>
  <si>
    <t>End Use</t>
  </si>
  <si>
    <t>Automotive/Transportation Service or Repair Facility</t>
  </si>
  <si>
    <t>Hot Water</t>
  </si>
  <si>
    <t>Space Heating</t>
  </si>
  <si>
    <t>Bakery</t>
  </si>
  <si>
    <t>Steam - Natural Draft</t>
  </si>
  <si>
    <t>Process Load</t>
  </si>
  <si>
    <t>Banks</t>
  </si>
  <si>
    <t>Steam - All Except Natural Draft</t>
  </si>
  <si>
    <t>Cafeteria</t>
  </si>
  <si>
    <t>College - University</t>
  </si>
  <si>
    <t>Commercial Condos</t>
  </si>
  <si>
    <t>Convenience Stores</t>
  </si>
  <si>
    <t>Convention Center</t>
  </si>
  <si>
    <t>Court House</t>
  </si>
  <si>
    <t>Entertainment</t>
  </si>
  <si>
    <t>Exercise Center</t>
  </si>
  <si>
    <t>Grocery/Food Store</t>
  </si>
  <si>
    <t>Gymnasium</t>
  </si>
  <si>
    <t>Industrial/Manufacturing</t>
  </si>
  <si>
    <t>Laundromats</t>
  </si>
  <si>
    <t>Library</t>
  </si>
  <si>
    <t>Lodging - Hotel</t>
  </si>
  <si>
    <t>Lodging - Motel</t>
  </si>
  <si>
    <t>Mall Concourse</t>
  </si>
  <si>
    <t>Medical Offices</t>
  </si>
  <si>
    <t>Motion Picture Theatre</t>
  </si>
  <si>
    <t>Museum</t>
  </si>
  <si>
    <t>Office - Large</t>
  </si>
  <si>
    <t>Office - Small</t>
  </si>
  <si>
    <t>Performing Arts Theatre</t>
  </si>
  <si>
    <t>Police/Firestation</t>
  </si>
  <si>
    <t>MBH Low Limit</t>
  </si>
  <si>
    <t>MBH Upper Limit</t>
  </si>
  <si>
    <t>Efficiency</t>
  </si>
  <si>
    <t>Post Office</t>
  </si>
  <si>
    <t>Pump Stations</t>
  </si>
  <si>
    <t>Religious/Church</t>
  </si>
  <si>
    <t>Restaurant - Casual Dining</t>
  </si>
  <si>
    <t>Restaurant - Full Service</t>
  </si>
  <si>
    <t>Restaurant - Quick Service/Fast Food</t>
  </si>
  <si>
    <t>Retail - Big Box/Large</t>
  </si>
  <si>
    <t>Retail - Small</t>
  </si>
  <si>
    <t>School - Jr./Sr. High</t>
  </si>
  <si>
    <t>School - Preschool/Elementary</t>
  </si>
  <si>
    <t>School - Technical/Vocational</t>
  </si>
  <si>
    <t>Small Services</t>
  </si>
  <si>
    <t>Sports Arena</t>
  </si>
  <si>
    <t>Town Hall</t>
  </si>
  <si>
    <t>Transportation</t>
  </si>
  <si>
    <t>Warehouse - Non-Refrigerated</t>
  </si>
  <si>
    <t>Warehouse - Refrigerated</t>
  </si>
  <si>
    <t>Waste Water Treatment Plant</t>
  </si>
  <si>
    <t>Workshop</t>
  </si>
  <si>
    <t>Please fill in the Facility Information, Building Type and HVAC Type. Then enter the estimated Tune-Up Cost for each boiler. Please note that the estimated incentive is not the actual incentive and that total incentive is capped at 50% of the project cost. Actual Incentives will be based on savings coming from the combustion efficiency read-out of the Pre and Post flue-gas tests which will need to be reviewed and approved.</t>
  </si>
  <si>
    <t>The following is the information required for a Boiler Tune-Up Measure. This measure meets the criteria of the current NYS TRM.</t>
  </si>
  <si>
    <r>
      <t xml:space="preserve">C&amp;I 2024 Energy Efficiency Program Guidelines
</t>
    </r>
    <r>
      <rPr>
        <b/>
        <sz val="16"/>
        <color rgb="FF548CD4"/>
        <rFont val="Cambria"/>
        <family val="1"/>
      </rPr>
      <t>Boiler Tune-Up</t>
    </r>
  </si>
  <si>
    <t>Con Edison Energy Efficiency Program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</si>
</sst>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$&quot;#,##0.00"/>
    <numFmt numFmtId="166" formatCode="0.0%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6"/>
      <color rgb="FF548CD4"/>
      <name val="Cambria"/>
      <family val="1"/>
    </font>
    <font>
      <sz val="5"/>
      <color theme="1"/>
      <name val="Cambria"/>
      <family val="1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sz val="7"/>
      <color theme="1"/>
      <name val="Times New Roman"/>
      <family val="1"/>
    </font>
    <font>
      <sz val="12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B2A1C7"/>
        <bgColor rgb="FFB2A1C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/>
    <xf numFmtId="0" fontId="6" fillId="0" borderId="0"/>
    <xf numFmtId="0" fontId="19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4" fontId="0" fillId="0" borderId="0" xfId="0" applyNumberFormat="1"/>
    <xf numFmtId="3" fontId="0" fillId="0" borderId="0" xfId="0" applyNumberFormat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5" fillId="3" borderId="0" xfId="0" applyFont="1" applyFill="1"/>
    <xf numFmtId="0" fontId="5" fillId="0" borderId="0" xfId="0" applyFont="1"/>
    <xf numFmtId="0" fontId="6" fillId="4" borderId="10" xfId="2" applyFill="1" applyBorder="1"/>
    <xf numFmtId="0" fontId="6" fillId="5" borderId="10" xfId="2" applyFill="1" applyBorder="1"/>
    <xf numFmtId="0" fontId="7" fillId="6" borderId="10" xfId="2" applyFont="1" applyFill="1" applyBorder="1"/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165" fontId="0" fillId="2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10"/>
    </xf>
    <xf numFmtId="0" fontId="8" fillId="0" borderId="0" xfId="0" applyFont="1" applyAlignment="1">
      <alignment horizontal="left" vertical="center" indent="15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3" applyFont="1"/>
    <xf numFmtId="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0" fillId="2" borderId="0" xfId="0" applyFill="1"/>
    <xf numFmtId="0" fontId="2" fillId="2" borderId="7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1" xfId="0" applyFill="1" applyBorder="1"/>
    <xf numFmtId="43" fontId="0" fillId="2" borderId="1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4" xfId="1" applyNumberFormat="1" applyFont="1" applyFill="1" applyBorder="1" applyAlignment="1" applyProtection="1">
      <alignment horizontal="center" vertical="center"/>
      <protection locked="0"/>
    </xf>
    <xf numFmtId="0" fontId="0" fillId="2" borderId="9" xfId="1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23" xfId="0" applyFill="1" applyBorder="1"/>
    <xf numFmtId="43" fontId="0" fillId="2" borderId="9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2" borderId="19" xfId="1" applyNumberFormat="1" applyFont="1" applyFill="1" applyBorder="1" applyAlignment="1" applyProtection="1">
      <alignment horizontal="center" vertical="center"/>
      <protection locked="0"/>
    </xf>
    <xf numFmtId="0" fontId="0" fillId="2" borderId="25" xfId="1" applyNumberFormat="1" applyFont="1" applyFill="1" applyBorder="1" applyAlignment="1" applyProtection="1">
      <alignment horizontal="center" vertical="center"/>
      <protection locked="0"/>
    </xf>
    <xf numFmtId="0" fontId="0" fillId="2" borderId="26" xfId="1" applyNumberFormat="1" applyFont="1" applyFill="1" applyBorder="1" applyAlignment="1" applyProtection="1">
      <alignment horizontal="center" vertical="center"/>
      <protection locked="0"/>
    </xf>
    <xf numFmtId="0" fontId="0" fillId="2" borderId="17" xfId="1" applyNumberFormat="1" applyFont="1" applyFill="1" applyBorder="1" applyAlignment="1" applyProtection="1">
      <alignment horizontal="center" vertical="center"/>
      <protection locked="0"/>
    </xf>
    <xf numFmtId="0" fontId="0" fillId="2" borderId="18" xfId="1" applyNumberFormat="1" applyFont="1" applyFill="1" applyBorder="1" applyAlignment="1" applyProtection="1">
      <alignment horizontal="center" vertical="center"/>
      <protection locked="0"/>
    </xf>
    <xf numFmtId="0" fontId="0" fillId="2" borderId="27" xfId="1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3" fontId="0" fillId="2" borderId="21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2" fontId="0" fillId="0" borderId="0" xfId="0" applyNumberFormat="1"/>
    <xf numFmtId="165" fontId="0" fillId="0" borderId="0" xfId="0" applyNumberFormat="1"/>
    <xf numFmtId="0" fontId="0" fillId="0" borderId="11" xfId="0" quotePrefix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66" fontId="0" fillId="7" borderId="7" xfId="3" applyNumberFormat="1" applyFont="1" applyFill="1" applyBorder="1" applyAlignment="1" applyProtection="1">
      <alignment horizontal="center" vertical="center"/>
    </xf>
    <xf numFmtId="166" fontId="0" fillId="7" borderId="6" xfId="3" applyNumberFormat="1" applyFont="1" applyFill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7" borderId="2" xfId="3" applyNumberFormat="1" applyFont="1" applyFill="1" applyBorder="1" applyAlignment="1" applyProtection="1">
      <alignment horizontal="center" vertical="center"/>
    </xf>
    <xf numFmtId="166" fontId="0" fillId="7" borderId="3" xfId="3" applyNumberFormat="1" applyFont="1" applyFill="1" applyBorder="1" applyAlignment="1" applyProtection="1">
      <alignment horizontal="center" vertical="center"/>
    </xf>
    <xf numFmtId="9" fontId="0" fillId="7" borderId="3" xfId="3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0" fillId="7" borderId="4" xfId="3" applyNumberFormat="1" applyFont="1" applyFill="1" applyBorder="1" applyAlignment="1" applyProtection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3" fontId="0" fillId="2" borderId="1" xfId="0" applyNumberFormat="1" applyFill="1" applyBorder="1" applyAlignment="1">
      <alignment horizontal="center"/>
    </xf>
    <xf numFmtId="4" fontId="2" fillId="0" borderId="0" xfId="0" applyNumberFormat="1" applyFont="1"/>
    <xf numFmtId="0" fontId="4" fillId="2" borderId="20" xfId="0" applyFont="1" applyFill="1" applyBorder="1" applyAlignment="1">
      <alignment horizontal="right"/>
    </xf>
    <xf numFmtId="14" fontId="0" fillId="2" borderId="30" xfId="0" applyNumberFormat="1" applyFill="1" applyBorder="1" applyAlignment="1">
      <alignment vertical="center"/>
    </xf>
    <xf numFmtId="0" fontId="0" fillId="2" borderId="31" xfId="0" applyFill="1" applyBorder="1"/>
    <xf numFmtId="0" fontId="0" fillId="2" borderId="32" xfId="0" applyFill="1" applyBorder="1" applyAlignment="1">
      <alignment horizontal="right" vertical="center"/>
    </xf>
    <xf numFmtId="0" fontId="0" fillId="2" borderId="29" xfId="0" applyFill="1" applyBorder="1"/>
    <xf numFmtId="0" fontId="0" fillId="2" borderId="34" xfId="0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2" fillId="8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9" fillId="0" borderId="0" xfId="5" applyAlignment="1">
      <alignment vertical="center"/>
    </xf>
    <xf numFmtId="167" fontId="18" fillId="2" borderId="33" xfId="0" quotePrefix="1" applyNumberFormat="1" applyFont="1" applyFill="1" applyBorder="1" applyAlignment="1">
      <alignment horizontal="right" vertical="center"/>
    </xf>
    <xf numFmtId="0" fontId="20" fillId="0" borderId="0" xfId="0" applyFont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</cellXfs>
  <cellStyles count="6">
    <cellStyle name="Currency" xfId="1" builtinId="4"/>
    <cellStyle name="Hyperlink" xfId="5" builtinId="8"/>
    <cellStyle name="Normal" xfId="0" builtinId="0"/>
    <cellStyle name="Normal 3" xfId="2" xr:uid="{32F3CBB5-DF48-4B71-BCE2-0D33533BB914}"/>
    <cellStyle name="Normal 3 2" xfId="4" xr:uid="{04DF528C-CDE3-48DD-B2A3-FBBFAA0569E5}"/>
    <cellStyle name="Percent" xfId="3" builtinId="5"/>
  </cellStyles>
  <dxfs count="42">
    <dxf>
      <numFmt numFmtId="3" formatCode="#,##0"/>
    </dxf>
    <dxf>
      <numFmt numFmtId="0" formatCode="General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164" formatCode="0;\-0;;@"/>
    </dxf>
    <dxf>
      <alignment horizontal="general" vertical="bottom" textRotation="0" wrapText="1" indent="0" justifyLastLine="0" shrinkToFit="0" readingOrder="0"/>
    </dxf>
    <dxf>
      <numFmt numFmtId="165" formatCode="&quot;$&quot;#,##0.00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numFmt numFmtId="166" formatCode="0.0%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numFmt numFmtId="0" formatCode="General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13654</xdr:colOff>
      <xdr:row>1</xdr:row>
      <xdr:rowOff>82550</xdr:rowOff>
    </xdr:from>
    <xdr:to>
      <xdr:col>5</xdr:col>
      <xdr:colOff>0</xdr:colOff>
      <xdr:row>5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66657E-4573-448B-BA08-C20D8AEF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854" y="317500"/>
          <a:ext cx="6336346" cy="65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486164</xdr:colOff>
      <xdr:row>4</xdr:row>
      <xdr:rowOff>161179</xdr:rowOff>
    </xdr:from>
    <xdr:to>
      <xdr:col>2</xdr:col>
      <xdr:colOff>448543</xdr:colOff>
      <xdr:row>16</xdr:row>
      <xdr:rowOff>73269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399949BC-4761-4791-904F-FF0AD7DE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64" y="1545967"/>
          <a:ext cx="4607648" cy="21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29954</xdr:rowOff>
    </xdr:from>
    <xdr:to>
      <xdr:col>4</xdr:col>
      <xdr:colOff>1306719</xdr:colOff>
      <xdr:row>11</xdr:row>
      <xdr:rowOff>46767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B2088A-E212-4ADD-99CD-7C7B893B2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954"/>
          <a:ext cx="7240794" cy="21123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330200</xdr:colOff>
      <xdr:row>0</xdr:row>
      <xdr:rowOff>59871</xdr:rowOff>
    </xdr:from>
    <xdr:to>
      <xdr:col>11</xdr:col>
      <xdr:colOff>2495550</xdr:colOff>
      <xdr:row>15</xdr:row>
      <xdr:rowOff>82550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E24371-8771-49C7-8097-9C2A2702E2D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650" y="59871"/>
          <a:ext cx="6115050" cy="2975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9</xdr:row>
      <xdr:rowOff>159066</xdr:rowOff>
    </xdr:from>
    <xdr:to>
      <xdr:col>9</xdr:col>
      <xdr:colOff>141943</xdr:colOff>
      <xdr:row>27</xdr:row>
      <xdr:rowOff>56557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39E67-665F-4899-85DA-5D970C338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1816416"/>
          <a:ext cx="5050493" cy="32121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olidatededison.sharepoint.com/personal/bronfmana_coned_com/Documents/My%20Documents/C&amp;I%20Tools/Gas%20Tool%20Rework%20121720/gas-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olidatededison.sharepoint.com/personal/bronfmana_coned_com/Documents/My%20Documents/C&amp;I%20Tools/Insulation%20Rework%20110920/Insulation%20Survey%20-%20V20.4_Unlocked_for_User_Testing_ver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Project Summary"/>
      <sheetName val="Updates"/>
      <sheetName val="Furnaces and Boilers"/>
      <sheetName val="Pre Rinse Spray Valve"/>
      <sheetName val="Faucet - Low Flow Aerator"/>
      <sheetName val="Thermostat - Programmable Setba"/>
      <sheetName val="Steam Trap"/>
      <sheetName val="Storage Tank Water Heater"/>
      <sheetName val="Measure&amp;Incentive Picklist"/>
      <sheetName val="PLSF Mapping"/>
      <sheetName val="Heating picklist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dates Log"/>
      <sheetName val="Instructions"/>
      <sheetName val="Boiler"/>
      <sheetName val="Pipe Insulation"/>
      <sheetName val="Incentive Structure"/>
      <sheetName val="NYS TRM Table"/>
      <sheetName val="SF Area Insulation"/>
      <sheetName val="Insulation Table"/>
      <sheetName val="Heating picklists"/>
      <sheetName val="EFLH"/>
      <sheetName val="PLSF Mapping"/>
      <sheetName val="Insulation Survey - V20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A3ED7D-4E7F-4883-924A-3735760F24D7}" name="TableBoilerInput" displayName="TableBoilerInput" ref="A14:N24" totalsRowShown="0" headerRowDxfId="26" dataDxfId="24" headerRowBorderDxfId="25" tableBorderDxfId="23" totalsRowBorderDxfId="22">
  <tableColumns count="14">
    <tableColumn id="1" xr3:uid="{54AD6E13-A543-4BF6-B7E8-ACB8E5417781}" name="Boiler Make &amp; Model" dataDxfId="21"/>
    <tableColumn id="10" xr3:uid="{6FEEEA79-6CCD-48FC-9DEA-96F825C65406}" name="Location" dataDxfId="20"/>
    <tableColumn id="4" xr3:uid="{26062B3D-C214-40C0-9900-71F10998D889}" name="End Use (select one)" dataDxfId="19" dataCellStyle="Currency"/>
    <tableColumn id="2" xr3:uid="{AD5B69FA-7F90-4F5C-9D93-A810E7C37E77}" name="Boiler Type (select one)" dataDxfId="18"/>
    <tableColumn id="3" xr3:uid="{8729D626-61C6-42D6-AFC4-1CF94FCD1673}" name="Fuel Input Rating (MBH)" dataDxfId="17"/>
    <tableColumn id="9" xr3:uid="{8AF3C6B4-9C4D-406B-8C94-09DA56CD9D49}" name="Annual Hours of Operation (required for Process Loads)" dataDxfId="16" dataCellStyle="Currency"/>
    <tableColumn id="5" xr3:uid="{AD1AF01A-8088-45CE-A1BE-369E4CEC8BA5}" name="Equivalent Full-Load Heating Hours" dataDxfId="15">
      <calculatedColumnFormula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calculatedColumnFormula>
    </tableColumn>
    <tableColumn id="6" xr3:uid="{C5A1D267-37FF-4115-A9EF-3C6E95ADC7C2}" name="Load Factor" dataDxfId="14"/>
    <tableColumn id="7" xr3:uid="{A351CA7E-97F8-478C-8BC8-F3EE82922D2B}" name="Pre-Tune Min code Boiler Efficiency" dataDxfId="13">
      <calculatedColumnFormula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calculatedColumnFormula>
    </tableColumn>
    <tableColumn id="8" xr3:uid="{27F4A1DE-CC70-4875-9A3E-B84F3C436DED}" name="Post-Tune Min Code Boiler Efficiency" dataDxfId="12">
      <calculatedColumnFormula>IF(TableBoilerInput[[#This Row],[Pre-Tune Min code Boiler Efficiency]]&lt;&gt;"",TableBoilerInput[[#This Row],[Pre-Tune Min code Boiler Efficiency]]+0.02,"")</calculatedColumnFormula>
    </tableColumn>
    <tableColumn id="11" xr3:uid="{31637B14-A0CC-4421-8492-C1FFBEE9C5AC}" name="Actual Pre-Tune Boiler Efficiency" dataDxfId="11" dataCellStyle="Percent"/>
    <tableColumn id="12" xr3:uid="{E65BBB8E-26BA-4DFA-867A-FEDAED43608A}" name="Actual Post-Tune Boiler Efficiency" dataDxfId="10"/>
    <tableColumn id="13" xr3:uid="{0A3E284C-A821-4A27-AC5C-5E9204EAFD7B}" name="Actual Therm Savings" dataDxfId="9">
      <calculatedColumnFormula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calculatedColumnFormula>
    </tableColumn>
    <tableColumn id="14" xr3:uid="{29E69E11-AFAC-4104-A34D-66A36EA42BAA}" name="Actual Incentive" dataDxfId="8">
      <calculatedColumnFormula>TableBoilerInput[[#This Row],[Actual Therm Savings]]*2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04AA1D-5CCA-4456-8AD5-86B41E269D5A}" name="TableBoilerCalc_Pre" displayName="TableBoilerCalc_Pre" ref="A3:G14" totalsRowCount="1" headerRowDxfId="7">
  <tableColumns count="7">
    <tableColumn id="1" xr3:uid="{AAC38F61-9B22-46CA-B46C-EDE29E9032C0}" name="Boiler" totalsRowLabel="Total" dataDxfId="6">
      <calculatedColumnFormula>INDEX(TableBoilerInput[Boiler Make &amp; Model],ROW()-3)</calculatedColumnFormula>
    </tableColumn>
    <tableColumn id="2" xr3:uid="{18372022-7B31-4C8B-BD40-808F58CACEB6}" name="Size MBH" dataDxfId="5">
      <calculatedColumnFormula>INDEX(TableBoilerInput[Fuel Input Rating (MBH)],ROW()-3)</calculatedColumnFormula>
    </tableColumn>
    <tableColumn id="3" xr3:uid="{18E75564-BA05-4CD1-B5E7-CBC54A47BE1C}" name="Pre_Eff" dataCellStyle="Percent">
      <calculatedColumnFormula>INDEX(TableBoilerInput[Pre-Tune Min code Boiler Efficiency],ROW()-3)</calculatedColumnFormula>
    </tableColumn>
    <tableColumn id="11" xr3:uid="{8A455EDF-13B1-4148-BFC2-6E411441ADCB}" name="Post_Eff" dataCellStyle="Percent">
      <calculatedColumnFormula>INDEX(TableBoilerInput[Post-Tune Min Code Boiler Efficiency],ROW()-3)</calculatedColumnFormula>
    </tableColumn>
    <tableColumn id="4" xr3:uid="{7E8B47EC-2A9F-4C1A-8E0F-704217ECBE4C}" name="EFLH" dataDxfId="4">
      <calculatedColumnFormula>INDEX(TableBoilerInput[Equivalent Full-Load Heating Hours],ROW()-3)</calculatedColumnFormula>
    </tableColumn>
    <tableColumn id="6" xr3:uid="{89488925-9399-4DDE-A6BD-41AD2CD97273}" name="LF" dataDxfId="3">
      <calculatedColumnFormula>INDEX(TableBoilerInput[Load Factor],ROW()-3)</calculatedColumnFormula>
    </tableColumn>
    <tableColumn id="5" xr3:uid="{2C263438-A573-4B66-8DEB-E27080F8FD22}" name="Total Consumption Therms" totalsRowFunction="sum" dataDxfId="2">
      <calculatedColumnFormula>IFERROR((TableBoilerCalc_Pre[[#This Row],[Size MBH]]/(100*TableBoilerCalc_Pre[[#This Row],[LF]]))*(1-TableBoilerCalc_Pre[[#This Row],[Pre_Eff]]/TableBoilerCalc_Pre[[#This Row],[Post_Eff]])*TableBoilerCalc_Pre[[#This Row],[EFLH]],0)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EA7CA86-C3D2-4EA9-A9E4-5E8E45499D2E}" name="TableEFLH_Commercial" displayName="TableEFLH_Commercial" ref="I18:M54" totalsRowShown="0">
  <autoFilter ref="I18:M54" xr:uid="{C9C1603E-AC94-4ABA-BFD4-EDE8DAD8512B}"/>
  <tableColumns count="5">
    <tableColumn id="1" xr3:uid="{D6B01B0F-F30E-4AB1-9D33-370849330566}" name="Facility Size"/>
    <tableColumn id="2" xr3:uid="{C1A75AEB-25AB-4AB2-9390-ED9CA274662F}" name="Facility Type"/>
    <tableColumn id="3" xr3:uid="{AF81E036-7237-4A84-8A41-3B448DF66EBE}" name="System"/>
    <tableColumn id="5" xr3:uid="{C87444DD-C14B-4BAC-911D-8DE397FE1FDF}" name="ConCatenatedName" dataDxfId="1">
      <calculatedColumnFormula>TableEFLH_Commercial[[#This Row],[Facility Size]]&amp;TableEFLH_Commercial[[#This Row],[Facility Type]]&amp;TableEFLH_Commercial[[#This Row],[System]]</calculatedColumnFormula>
    </tableColumn>
    <tableColumn id="4" xr3:uid="{A29490A4-A90C-44F0-9767-629A4EB57242}" name="EFLH_Heating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51D7-6358-4102-BD00-BD428D26D539}">
  <dimension ref="A1:H43"/>
  <sheetViews>
    <sheetView tabSelected="1" zoomScale="80" zoomScaleNormal="80" workbookViewId="0">
      <selection activeCell="D7" sqref="D7"/>
    </sheetView>
  </sheetViews>
  <sheetFormatPr defaultColWidth="8.7109375" defaultRowHeight="15" x14ac:dyDescent="0.25"/>
  <cols>
    <col min="1" max="2" width="8.7109375" style="29"/>
    <col min="3" max="3" width="20.5703125" style="29" customWidth="1"/>
    <col min="4" max="4" width="25.5703125" style="29" customWidth="1"/>
    <col min="5" max="5" width="40.5703125" style="29" customWidth="1"/>
    <col min="6" max="7" width="20.5703125" style="29" customWidth="1"/>
    <col min="8" max="8" width="18.85546875" style="29" hidden="1" customWidth="1"/>
    <col min="9" max="16384" width="8.7109375" style="29"/>
  </cols>
  <sheetData>
    <row r="1" spans="3:8" ht="18.75" x14ac:dyDescent="0.3">
      <c r="C1" s="28" t="s">
        <v>174</v>
      </c>
      <c r="D1" s="28"/>
    </row>
    <row r="6" spans="3:8" ht="15.75" thickBot="1" x14ac:dyDescent="0.3"/>
    <row r="7" spans="3:8" x14ac:dyDescent="0.25">
      <c r="C7" s="30" t="s">
        <v>0</v>
      </c>
      <c r="D7" s="6"/>
    </row>
    <row r="8" spans="3:8" x14ac:dyDescent="0.25">
      <c r="C8" s="31" t="s">
        <v>1</v>
      </c>
      <c r="D8" s="7"/>
    </row>
    <row r="9" spans="3:8" x14ac:dyDescent="0.25">
      <c r="C9" s="31" t="s">
        <v>2</v>
      </c>
      <c r="D9" s="7"/>
    </row>
    <row r="10" spans="3:8" ht="12.95" customHeight="1" x14ac:dyDescent="0.25">
      <c r="C10" s="31" t="s">
        <v>3</v>
      </c>
      <c r="D10" s="101"/>
    </row>
    <row r="11" spans="3:8" ht="15.75" thickBot="1" x14ac:dyDescent="0.3">
      <c r="C11" s="32" t="s">
        <v>4</v>
      </c>
      <c r="D11" s="8"/>
    </row>
    <row r="12" spans="3:8" ht="15.75" thickBot="1" x14ac:dyDescent="0.3"/>
    <row r="13" spans="3:8" ht="19.5" thickBot="1" x14ac:dyDescent="0.35">
      <c r="C13" s="105" t="s">
        <v>5</v>
      </c>
      <c r="D13" s="106"/>
      <c r="E13" s="106"/>
      <c r="F13" s="106"/>
      <c r="G13" s="107"/>
      <c r="H13" s="33"/>
    </row>
    <row r="14" spans="3:8" ht="45" customHeight="1" x14ac:dyDescent="0.25">
      <c r="C14" s="34" t="s">
        <v>6</v>
      </c>
      <c r="D14" s="35" t="s">
        <v>7</v>
      </c>
      <c r="E14" s="68" t="s">
        <v>8</v>
      </c>
      <c r="F14" s="68" t="s">
        <v>9</v>
      </c>
      <c r="G14" s="56" t="s">
        <v>10</v>
      </c>
      <c r="H14" s="100" t="s">
        <v>11</v>
      </c>
    </row>
    <row r="15" spans="3:8" x14ac:dyDescent="0.25">
      <c r="C15" s="36" t="str">
        <f>IF('Boiler Input'!A15&lt;&gt;"",'Boiler Input'!A15,"")</f>
        <v/>
      </c>
      <c r="D15" s="37" t="str">
        <f>IF('Boiler Input'!B15&lt;&gt;"",'Boiler Input'!B15,"")</f>
        <v/>
      </c>
      <c r="E15" s="90" t="str">
        <f>IF(C15&lt;&gt;"",'Boiler Calc'!G4,"")</f>
        <v/>
      </c>
      <c r="F15" s="14"/>
      <c r="G15" s="39" t="str">
        <f t="shared" ref="G15:G24" si="0">IFERROR(IF(F15&lt;&gt;"",MIN(F15,E15*2), ""),"")</f>
        <v/>
      </c>
      <c r="H15" s="39" t="str">
        <f>IF($E15&lt;&gt;"",INDEX(#REF!,MATCH(Summary!$D$10,#REF!,0)),"")</f>
        <v/>
      </c>
    </row>
    <row r="16" spans="3:8" x14ac:dyDescent="0.25">
      <c r="C16" s="36" t="str">
        <f>IF('Boiler Input'!A16&lt;&gt;"",'Boiler Input'!A16,"")</f>
        <v/>
      </c>
      <c r="D16" s="37" t="str">
        <f>IF('Boiler Input'!B16&lt;&gt;"",'Boiler Input'!B16,"")</f>
        <v/>
      </c>
      <c r="E16" s="90" t="str">
        <f>IF(C16&lt;&gt;"",'Boiler Calc'!G5,"")</f>
        <v/>
      </c>
      <c r="F16" s="14"/>
      <c r="G16" s="39" t="str">
        <f t="shared" si="0"/>
        <v/>
      </c>
      <c r="H16" s="39" t="str">
        <f>IF($E16&lt;&gt;"",INDEX(#REF!,MATCH(Summary!$D$10,#REF!,0)),"")</f>
        <v/>
      </c>
    </row>
    <row r="17" spans="1:8" x14ac:dyDescent="0.25">
      <c r="C17" s="36" t="str">
        <f>IF('Boiler Input'!A17&lt;&gt;"",'Boiler Input'!A17,"")</f>
        <v/>
      </c>
      <c r="D17" s="37" t="str">
        <f>IF('Boiler Input'!B17&lt;&gt;"",'Boiler Input'!B17,"")</f>
        <v/>
      </c>
      <c r="E17" s="90" t="str">
        <f>IF(C17&lt;&gt;"",'Boiler Calc'!G6,"")</f>
        <v/>
      </c>
      <c r="F17" s="14"/>
      <c r="G17" s="39" t="str">
        <f t="shared" si="0"/>
        <v/>
      </c>
      <c r="H17" s="39" t="str">
        <f>IF($E17&lt;&gt;"",INDEX(#REF!,MATCH(Summary!$D$10,#REF!,0)),"")</f>
        <v/>
      </c>
    </row>
    <row r="18" spans="1:8" x14ac:dyDescent="0.25">
      <c r="C18" s="36" t="str">
        <f>IF('Boiler Input'!A18&lt;&gt;"",'Boiler Input'!A18,"")</f>
        <v/>
      </c>
      <c r="D18" s="37" t="str">
        <f>IF('Boiler Input'!B18&lt;&gt;"",'Boiler Input'!B18,"")</f>
        <v/>
      </c>
      <c r="E18" s="38" t="str">
        <f>IF(C18&lt;&gt;"",'Boiler Calc'!G7,"")</f>
        <v/>
      </c>
      <c r="F18" s="14"/>
      <c r="G18" s="39" t="str">
        <f t="shared" si="0"/>
        <v/>
      </c>
      <c r="H18" s="39" t="str">
        <f>IF($E18&lt;&gt;"",INDEX(#REF!,MATCH(Summary!$D$10,#REF!,0)),"")</f>
        <v/>
      </c>
    </row>
    <row r="19" spans="1:8" x14ac:dyDescent="0.25">
      <c r="C19" s="36" t="str">
        <f>IF('Boiler Input'!A19&lt;&gt;"",'Boiler Input'!A19,"")</f>
        <v/>
      </c>
      <c r="D19" s="37" t="str">
        <f>IF('Boiler Input'!B19&lt;&gt;"",'Boiler Input'!B19,"")</f>
        <v/>
      </c>
      <c r="E19" s="38" t="str">
        <f>IF(C19&lt;&gt;"",'Boiler Calc'!G8,"")</f>
        <v/>
      </c>
      <c r="F19" s="14"/>
      <c r="G19" s="39" t="str">
        <f t="shared" si="0"/>
        <v/>
      </c>
      <c r="H19" s="39" t="str">
        <f>IF($E19&lt;&gt;"",INDEX(#REF!,MATCH(Summary!$D$10,#REF!,0)),"")</f>
        <v/>
      </c>
    </row>
    <row r="20" spans="1:8" x14ac:dyDescent="0.25">
      <c r="C20" s="36" t="str">
        <f>IF('Boiler Input'!A20&lt;&gt;"",'Boiler Input'!A20,"")</f>
        <v/>
      </c>
      <c r="D20" s="37" t="str">
        <f>IF('Boiler Input'!B20&lt;&gt;"",'Boiler Input'!B20,"")</f>
        <v/>
      </c>
      <c r="E20" s="38" t="str">
        <f>IF(C20&lt;&gt;"",'Boiler Calc'!G9,"")</f>
        <v/>
      </c>
      <c r="F20" s="14"/>
      <c r="G20" s="39" t="str">
        <f t="shared" si="0"/>
        <v/>
      </c>
      <c r="H20" s="39" t="str">
        <f>IF($E20&lt;&gt;"",INDEX(#REF!,MATCH(Summary!$D$10,#REF!,0)),"")</f>
        <v/>
      </c>
    </row>
    <row r="21" spans="1:8" x14ac:dyDescent="0.25">
      <c r="C21" s="36" t="str">
        <f>IF('Boiler Input'!A21&lt;&gt;"",'Boiler Input'!A21,"")</f>
        <v/>
      </c>
      <c r="D21" s="37" t="str">
        <f>IF('Boiler Input'!B21&lt;&gt;"",'Boiler Input'!B21,"")</f>
        <v/>
      </c>
      <c r="E21" s="38" t="str">
        <f>IF(C21&lt;&gt;"",'Boiler Calc'!G10,"")</f>
        <v/>
      </c>
      <c r="F21" s="14"/>
      <c r="G21" s="39" t="str">
        <f t="shared" si="0"/>
        <v/>
      </c>
      <c r="H21" s="39" t="str">
        <f>IF($E21&lt;&gt;"",INDEX(#REF!,MATCH(Summary!$D$10,#REF!,0)),"")</f>
        <v/>
      </c>
    </row>
    <row r="22" spans="1:8" x14ac:dyDescent="0.25">
      <c r="C22" s="36" t="str">
        <f>IF('Boiler Input'!A22&lt;&gt;"",'Boiler Input'!A22,"")</f>
        <v/>
      </c>
      <c r="D22" s="37" t="str">
        <f>IF('Boiler Input'!B22&lt;&gt;"",'Boiler Input'!B22,"")</f>
        <v/>
      </c>
      <c r="E22" s="38" t="str">
        <f>IF(C22&lt;&gt;"",'Boiler Calc'!G11,"")</f>
        <v/>
      </c>
      <c r="F22" s="14"/>
      <c r="G22" s="39" t="str">
        <f t="shared" si="0"/>
        <v/>
      </c>
      <c r="H22" s="39" t="str">
        <f>IF($E22&lt;&gt;"",INDEX(#REF!,MATCH(Summary!$D$10,#REF!,0)),"")</f>
        <v/>
      </c>
    </row>
    <row r="23" spans="1:8" x14ac:dyDescent="0.25">
      <c r="C23" s="36" t="str">
        <f>IF('Boiler Input'!A23&lt;&gt;"",'Boiler Input'!A23,"")</f>
        <v/>
      </c>
      <c r="D23" s="37" t="str">
        <f>IF('Boiler Input'!B23&lt;&gt;"",'Boiler Input'!B23,"")</f>
        <v/>
      </c>
      <c r="E23" s="38" t="str">
        <f>IF(C23&lt;&gt;"",'Boiler Calc'!G12,"")</f>
        <v/>
      </c>
      <c r="F23" s="14"/>
      <c r="G23" s="39" t="str">
        <f t="shared" si="0"/>
        <v/>
      </c>
      <c r="H23" s="39" t="str">
        <f>IF($E23&lt;&gt;"",INDEX(#REF!,MATCH(Summary!$D$10,#REF!,0)),"")</f>
        <v/>
      </c>
    </row>
    <row r="24" spans="1:8" ht="15.75" thickBot="1" x14ac:dyDescent="0.3">
      <c r="C24" s="53" t="str">
        <f>IF('Boiler Input'!A24&lt;&gt;"",'Boiler Input'!A24,"")</f>
        <v/>
      </c>
      <c r="D24" s="54" t="str">
        <f>IF('Boiler Input'!B24&lt;&gt;"",'Boiler Input'!B24,"")</f>
        <v/>
      </c>
      <c r="E24" s="55" t="str">
        <f>IF(C24&lt;&gt;"",'Boiler Calc'!G13,"")</f>
        <v/>
      </c>
      <c r="F24" s="15"/>
      <c r="G24" s="40" t="str">
        <f t="shared" si="0"/>
        <v/>
      </c>
      <c r="H24" s="40" t="str">
        <f>IF($E24&lt;&gt;"",INDEX(#REF!,MATCH(Summary!$D$10,#REF!,0)),"")</f>
        <v/>
      </c>
    </row>
    <row r="25" spans="1:8" ht="15.75" thickBot="1" x14ac:dyDescent="0.3"/>
    <row r="26" spans="1:8" ht="19.5" thickBot="1" x14ac:dyDescent="0.35">
      <c r="D26" s="92" t="s">
        <v>12</v>
      </c>
      <c r="E26" s="69">
        <f>SUM(E15:E24)</f>
        <v>0</v>
      </c>
      <c r="F26" s="70">
        <f>SUM(F15:F24)</f>
        <v>0</v>
      </c>
      <c r="G26" s="71">
        <f>MIN(F26*50%,SUM(G15:G24))</f>
        <v>0</v>
      </c>
      <c r="H26" s="71" t="e">
        <f>INDEX(#REF!,MATCH(Summary!$D$10,#REF!,0))</f>
        <v>#REF!</v>
      </c>
    </row>
    <row r="27" spans="1:8" ht="19.5" thickBot="1" x14ac:dyDescent="0.35">
      <c r="A27" s="98" t="s">
        <v>13</v>
      </c>
      <c r="C27" s="42"/>
      <c r="D27" s="99"/>
      <c r="E27" s="66"/>
      <c r="F27" s="67"/>
      <c r="G27" s="67"/>
    </row>
    <row r="28" spans="1:8" ht="18.75" x14ac:dyDescent="0.3">
      <c r="A28" s="94"/>
      <c r="B28" s="95" t="s">
        <v>14</v>
      </c>
      <c r="C28" s="103">
        <v>24</v>
      </c>
      <c r="D28" s="99"/>
      <c r="E28" s="66"/>
      <c r="F28" s="67"/>
      <c r="G28" s="67"/>
    </row>
    <row r="29" spans="1:8" ht="15.75" thickBot="1" x14ac:dyDescent="0.3">
      <c r="A29" s="96"/>
      <c r="B29" s="97" t="s">
        <v>15</v>
      </c>
      <c r="C29" s="93">
        <v>45292</v>
      </c>
      <c r="D29" s="72"/>
      <c r="E29" s="66"/>
      <c r="F29" s="67"/>
      <c r="G29" s="67"/>
    </row>
    <row r="30" spans="1:8" x14ac:dyDescent="0.25">
      <c r="D30" s="72"/>
      <c r="E30" s="66"/>
      <c r="F30" s="67"/>
      <c r="G30" s="67"/>
    </row>
    <row r="31" spans="1:8" ht="18.75" x14ac:dyDescent="0.3">
      <c r="C31" s="28" t="s">
        <v>16</v>
      </c>
      <c r="D31" s="33"/>
    </row>
    <row r="32" spans="1:8" ht="15" customHeight="1" x14ac:dyDescent="0.25">
      <c r="C32" s="108" t="s">
        <v>17</v>
      </c>
      <c r="D32" s="108"/>
      <c r="E32" s="108"/>
      <c r="F32" s="108"/>
      <c r="G32" s="108"/>
    </row>
    <row r="33" spans="3:8" ht="15" customHeight="1" x14ac:dyDescent="0.25">
      <c r="C33" s="108"/>
      <c r="D33" s="108"/>
      <c r="E33" s="108"/>
      <c r="F33" s="108"/>
      <c r="G33" s="108"/>
      <c r="H33" s="41"/>
    </row>
    <row r="34" spans="3:8" ht="30" customHeight="1" x14ac:dyDescent="0.25">
      <c r="C34" s="108" t="s">
        <v>171</v>
      </c>
      <c r="D34" s="108"/>
      <c r="E34" s="108"/>
      <c r="F34" s="108"/>
      <c r="G34" s="108"/>
      <c r="H34" s="41"/>
    </row>
    <row r="35" spans="3:8" ht="30" customHeight="1" x14ac:dyDescent="0.25">
      <c r="C35" s="108"/>
      <c r="D35" s="108"/>
      <c r="E35" s="108"/>
      <c r="F35" s="108"/>
      <c r="G35" s="108"/>
      <c r="H35" s="41"/>
    </row>
    <row r="36" spans="3:8" s="41" customFormat="1" ht="15" customHeight="1" x14ac:dyDescent="0.25">
      <c r="C36" s="109" t="s">
        <v>18</v>
      </c>
      <c r="D36" s="109"/>
      <c r="E36" s="109"/>
      <c r="F36" s="109"/>
      <c r="G36" s="109"/>
    </row>
    <row r="37" spans="3:8" s="41" customFormat="1" ht="15" customHeight="1" x14ac:dyDescent="0.25">
      <c r="C37" s="109"/>
      <c r="D37" s="109"/>
      <c r="E37" s="109"/>
      <c r="F37" s="109"/>
      <c r="G37" s="109"/>
    </row>
    <row r="38" spans="3:8" s="41" customFormat="1" ht="29.45" customHeight="1" x14ac:dyDescent="0.25"/>
    <row r="39" spans="3:8" x14ac:dyDescent="0.25">
      <c r="C39" s="42"/>
      <c r="D39" s="42"/>
      <c r="E39" s="42"/>
      <c r="F39" s="42"/>
      <c r="G39" s="42"/>
      <c r="H39" s="42"/>
    </row>
    <row r="40" spans="3:8" x14ac:dyDescent="0.25">
      <c r="D40" s="42"/>
      <c r="E40" s="42"/>
      <c r="F40" s="42"/>
      <c r="G40" s="42"/>
      <c r="H40" s="42"/>
    </row>
    <row r="41" spans="3:8" x14ac:dyDescent="0.25">
      <c r="E41" s="42"/>
      <c r="F41" s="42"/>
      <c r="G41" s="42"/>
      <c r="H41" s="42"/>
    </row>
    <row r="42" spans="3:8" x14ac:dyDescent="0.25">
      <c r="E42" s="42"/>
      <c r="F42" s="42"/>
      <c r="G42" s="42"/>
      <c r="H42" s="42"/>
    </row>
    <row r="43" spans="3:8" x14ac:dyDescent="0.25">
      <c r="C43" s="42"/>
      <c r="D43" s="42"/>
      <c r="E43" s="42"/>
      <c r="F43" s="42"/>
      <c r="G43" s="42"/>
      <c r="H43" s="42"/>
    </row>
  </sheetData>
  <sheetProtection algorithmName="SHA-512" hashValue="iPZX3fiNlrhw1dqibHBUOevlNb3lCc/aNesqRKw7YVANkQBZkxZj7kuT3Ainqk4am7dGlmBJUX//Xvlwn2J6Zw==" saltValue="hFM1SNnJf0PkR0GTRmbx0w==" spinCount="100000" sheet="1" selectLockedCells="1"/>
  <mergeCells count="4">
    <mergeCell ref="C13:G13"/>
    <mergeCell ref="C34:G35"/>
    <mergeCell ref="C32:G33"/>
    <mergeCell ref="C36:G37"/>
  </mergeCells>
  <conditionalFormatting sqref="D7:D10 F15:F24">
    <cfRule type="expression" dxfId="41" priority="3">
      <formula>D7=""</formula>
    </cfRule>
  </conditionalFormatting>
  <conditionalFormatting sqref="D11">
    <cfRule type="expression" dxfId="40" priority="2">
      <formula>D11=""</formula>
    </cfRule>
  </conditionalFormatting>
  <conditionalFormatting sqref="D10">
    <cfRule type="expression" dxfId="39" priority="1">
      <formula>D10=""</formula>
    </cfRule>
  </conditionalFormatting>
  <pageMargins left="0.7" right="0.7" top="0.75" bottom="0.75" header="0.3" footer="0.3"/>
  <pageSetup orientation="portrait" r:id="rId1"/>
  <headerFooter>
    <oddFooter>&amp;C_x000D_&amp;1#&amp;"Calibri"&amp;22&amp;K0073CF INTERNAL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B1AA36E-9147-4F71-B65A-7F2399B5A2A3}">
          <x14:formula1>
            <xm:f>Buildings!$A$2:$A$48</xm:f>
          </x14:formula1>
          <xm:sqref>D10</xm:sqref>
        </x14:dataValidation>
        <x14:dataValidation type="list" allowBlank="1" showInputMessage="1" showErrorMessage="1" xr:uid="{1C525C48-B2C2-4E2C-98D1-AB2E8FEA2FEF}">
          <x14:formula1>
            <xm:f>IF($D$10="Dormitory",Buildings!$F$6,IF(VLOOKUP($D$10,Buildings!$A$1:$C$60,3,FALSE)="Small Commercial",Buildings!$F$2,Buildings!$F$3:$F$5))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AC352-5050-4B67-BF8C-4420E352D7BB}">
  <sheetPr codeName="Sheet2"/>
  <dimension ref="B1:B44"/>
  <sheetViews>
    <sheetView showGridLines="0" zoomScale="130" zoomScaleNormal="130" workbookViewId="0">
      <selection activeCell="A100" sqref="A100"/>
    </sheetView>
  </sheetViews>
  <sheetFormatPr defaultRowHeight="15" x14ac:dyDescent="0.25"/>
  <cols>
    <col min="2" max="2" width="66.5703125" customWidth="1"/>
  </cols>
  <sheetData>
    <row r="1" spans="2:2" ht="60.75" x14ac:dyDescent="0.25">
      <c r="B1" s="24" t="s">
        <v>173</v>
      </c>
    </row>
    <row r="2" spans="2:2" ht="20.25" x14ac:dyDescent="0.25">
      <c r="B2" s="16"/>
    </row>
    <row r="3" spans="2:2" x14ac:dyDescent="0.25">
      <c r="B3" s="17" t="s">
        <v>172</v>
      </c>
    </row>
    <row r="4" spans="2:2" x14ac:dyDescent="0.25">
      <c r="B4" s="102"/>
    </row>
    <row r="7" spans="2:2" x14ac:dyDescent="0.25">
      <c r="B7" s="18"/>
    </row>
    <row r="9" spans="2:2" x14ac:dyDescent="0.25">
      <c r="B9" s="19"/>
    </row>
    <row r="10" spans="2:2" x14ac:dyDescent="0.25">
      <c r="B10" s="19"/>
    </row>
    <row r="11" spans="2:2" x14ac:dyDescent="0.25">
      <c r="B11" s="19"/>
    </row>
    <row r="12" spans="2:2" x14ac:dyDescent="0.25">
      <c r="B12" s="19"/>
    </row>
    <row r="13" spans="2:2" x14ac:dyDescent="0.25">
      <c r="B13" s="19"/>
    </row>
    <row r="14" spans="2:2" x14ac:dyDescent="0.25">
      <c r="B14" s="19"/>
    </row>
    <row r="15" spans="2:2" x14ac:dyDescent="0.25">
      <c r="B15" s="19"/>
    </row>
    <row r="16" spans="2:2" x14ac:dyDescent="0.25">
      <c r="B16" s="19"/>
    </row>
    <row r="17" spans="2:2" x14ac:dyDescent="0.25">
      <c r="B17" s="19"/>
    </row>
    <row r="18" spans="2:2" x14ac:dyDescent="0.25">
      <c r="B18" s="17" t="s">
        <v>19</v>
      </c>
    </row>
    <row r="19" spans="2:2" x14ac:dyDescent="0.25">
      <c r="B19" s="20" t="s">
        <v>20</v>
      </c>
    </row>
    <row r="20" spans="2:2" x14ac:dyDescent="0.25">
      <c r="B20" s="19" t="s">
        <v>21</v>
      </c>
    </row>
    <row r="21" spans="2:2" x14ac:dyDescent="0.25">
      <c r="B21" s="19"/>
    </row>
    <row r="22" spans="2:2" ht="15.75" x14ac:dyDescent="0.25">
      <c r="B22" s="21" t="s">
        <v>22</v>
      </c>
    </row>
    <row r="23" spans="2:2" x14ac:dyDescent="0.25">
      <c r="B23" s="22" t="s">
        <v>23</v>
      </c>
    </row>
    <row r="24" spans="2:2" x14ac:dyDescent="0.25">
      <c r="B24" s="23" t="s">
        <v>24</v>
      </c>
    </row>
    <row r="25" spans="2:2" x14ac:dyDescent="0.25">
      <c r="B25" s="23" t="s">
        <v>25</v>
      </c>
    </row>
    <row r="26" spans="2:2" x14ac:dyDescent="0.25">
      <c r="B26" s="23" t="s">
        <v>26</v>
      </c>
    </row>
    <row r="27" spans="2:2" x14ac:dyDescent="0.25">
      <c r="B27" s="23" t="s">
        <v>27</v>
      </c>
    </row>
    <row r="28" spans="2:2" x14ac:dyDescent="0.25">
      <c r="B28" s="22" t="s">
        <v>28</v>
      </c>
    </row>
    <row r="29" spans="2:2" x14ac:dyDescent="0.25">
      <c r="B29" s="22" t="s">
        <v>29</v>
      </c>
    </row>
    <row r="30" spans="2:2" x14ac:dyDescent="0.25">
      <c r="B30" s="17"/>
    </row>
    <row r="31" spans="2:2" x14ac:dyDescent="0.25">
      <c r="B31" s="21" t="s">
        <v>30</v>
      </c>
    </row>
    <row r="32" spans="2:2" x14ac:dyDescent="0.25">
      <c r="B32" s="22" t="s">
        <v>31</v>
      </c>
    </row>
    <row r="33" spans="2:2" x14ac:dyDescent="0.25">
      <c r="B33" s="22" t="s">
        <v>32</v>
      </c>
    </row>
    <row r="34" spans="2:2" x14ac:dyDescent="0.25">
      <c r="B34" s="22" t="s">
        <v>33</v>
      </c>
    </row>
    <row r="35" spans="2:2" x14ac:dyDescent="0.25">
      <c r="B35" s="19"/>
    </row>
    <row r="36" spans="2:2" x14ac:dyDescent="0.25">
      <c r="B36" s="21" t="s">
        <v>34</v>
      </c>
    </row>
    <row r="37" spans="2:2" x14ac:dyDescent="0.25">
      <c r="B37" s="22" t="s">
        <v>35</v>
      </c>
    </row>
    <row r="38" spans="2:2" x14ac:dyDescent="0.25">
      <c r="B38" s="22" t="s">
        <v>36</v>
      </c>
    </row>
    <row r="40" spans="2:2" x14ac:dyDescent="0.25">
      <c r="B40" s="22" t="s">
        <v>37</v>
      </c>
    </row>
    <row r="41" spans="2:2" x14ac:dyDescent="0.25">
      <c r="B41" s="22" t="s">
        <v>38</v>
      </c>
    </row>
    <row r="42" spans="2:2" x14ac:dyDescent="0.25">
      <c r="B42" s="19"/>
    </row>
    <row r="43" spans="2:2" x14ac:dyDescent="0.25">
      <c r="B43" s="21" t="s">
        <v>39</v>
      </c>
    </row>
    <row r="44" spans="2:2" x14ac:dyDescent="0.25">
      <c r="B44" s="21"/>
    </row>
  </sheetData>
  <sheetProtection algorithmName="SHA-512" hashValue="m1QyNfEiGVtjYKWPL0Yrg+aDO0ZxQwRjRK/7guvBcmQHROQLvQYctAnLSpY3DBj+LYaXVqwAm/ibj44WheOnfQ==" saltValue="ne9l7mdEgqbwLxZZvfhjjQ==" spinCount="100000" sheet="1" objects="1" scenarios="1" selectLockedCells="1" selectUnlockedCells="1"/>
  <pageMargins left="0.7" right="0.7" top="0.75" bottom="0.75" header="0.3" footer="0.3"/>
  <pageSetup orientation="portrait" horizontalDpi="300" verticalDpi="300" r:id="rId1"/>
  <headerFooter>
    <oddFooter>&amp;C_x000D_&amp;1#&amp;"Calibri"&amp;22&amp;K0073CF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F865-FA9B-4B74-A4E2-A25E2333E7E1}">
  <sheetPr codeName="Sheet3"/>
  <dimension ref="A12:N27"/>
  <sheetViews>
    <sheetView showGridLines="0" zoomScaleNormal="100" workbookViewId="0">
      <selection activeCell="A15" sqref="A15"/>
    </sheetView>
  </sheetViews>
  <sheetFormatPr defaultColWidth="8.7109375" defaultRowHeight="15" x14ac:dyDescent="0.25"/>
  <cols>
    <col min="1" max="3" width="20.5703125" customWidth="1"/>
    <col min="4" max="4" width="27.28515625" bestFit="1" customWidth="1"/>
    <col min="5" max="12" width="20.5703125" customWidth="1"/>
    <col min="13" max="13" width="13.85546875" customWidth="1"/>
    <col min="14" max="14" width="11.42578125" customWidth="1"/>
  </cols>
  <sheetData>
    <row r="12" spans="1:14" ht="15.75" thickBot="1" x14ac:dyDescent="0.3"/>
    <row r="13" spans="1:14" ht="15.75" thickBot="1" x14ac:dyDescent="0.3">
      <c r="K13" s="88" t="s">
        <v>40</v>
      </c>
      <c r="L13" s="89" t="s">
        <v>40</v>
      </c>
    </row>
    <row r="14" spans="1:14" ht="47.1" customHeight="1" thickBot="1" x14ac:dyDescent="0.3">
      <c r="A14" s="43" t="s">
        <v>6</v>
      </c>
      <c r="B14" s="44" t="s">
        <v>7</v>
      </c>
      <c r="C14" s="44" t="s">
        <v>41</v>
      </c>
      <c r="D14" s="57" t="s">
        <v>42</v>
      </c>
      <c r="E14" s="44" t="s">
        <v>43</v>
      </c>
      <c r="F14" s="47" t="s">
        <v>44</v>
      </c>
      <c r="G14" s="45" t="s">
        <v>45</v>
      </c>
      <c r="H14" s="46" t="s">
        <v>46</v>
      </c>
      <c r="I14" s="46" t="s">
        <v>47</v>
      </c>
      <c r="J14" s="64" t="s">
        <v>48</v>
      </c>
      <c r="K14" s="65" t="s">
        <v>49</v>
      </c>
      <c r="L14" s="65" t="s">
        <v>50</v>
      </c>
      <c r="M14" s="46" t="s">
        <v>51</v>
      </c>
      <c r="N14" s="46" t="s">
        <v>52</v>
      </c>
    </row>
    <row r="15" spans="1:14" x14ac:dyDescent="0.25">
      <c r="A15" s="60"/>
      <c r="B15" s="61"/>
      <c r="C15" s="61"/>
      <c r="D15" s="62"/>
      <c r="E15" s="61"/>
      <c r="F15" s="63"/>
      <c r="G15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15" s="76">
        <v>1.3</v>
      </c>
      <c r="I15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5" s="77">
        <f>IF(TableBoilerInput[[#This Row],[Pre-Tune Min code Boiler Efficiency]]&lt;&gt;"",TableBoilerInput[[#This Row],[Pre-Tune Min code Boiler Efficiency]]+0.02,"")</f>
        <v>0.77</v>
      </c>
      <c r="K15" s="78"/>
      <c r="L15" s="79"/>
      <c r="M15" s="80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5" s="81">
        <f>TableBoilerInput[[#This Row],[Actual Therm Savings]]*2</f>
        <v>0</v>
      </c>
    </row>
    <row r="16" spans="1:14" x14ac:dyDescent="0.25">
      <c r="A16" s="48"/>
      <c r="B16" s="27"/>
      <c r="C16" s="27"/>
      <c r="D16" s="58"/>
      <c r="E16" s="27"/>
      <c r="F16" s="49"/>
      <c r="G16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16" s="76">
        <v>1.3</v>
      </c>
      <c r="I16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6" s="77">
        <f>IF(TableBoilerInput[[#This Row],[Pre-Tune Min code Boiler Efficiency]]&lt;&gt;"",TableBoilerInput[[#This Row],[Pre-Tune Min code Boiler Efficiency]]+0.02,"")</f>
        <v>0.77</v>
      </c>
      <c r="K16" s="82"/>
      <c r="L16" s="83"/>
      <c r="M16" s="80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6" s="81">
        <f>TableBoilerInput[[#This Row],[Actual Therm Savings]]*2</f>
        <v>0</v>
      </c>
    </row>
    <row r="17" spans="1:14" x14ac:dyDescent="0.25">
      <c r="A17" s="48"/>
      <c r="B17" s="27"/>
      <c r="C17" s="27"/>
      <c r="D17" s="58"/>
      <c r="E17" s="27"/>
      <c r="F17" s="49"/>
      <c r="G17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17" s="76">
        <v>1.3</v>
      </c>
      <c r="I17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7" s="77">
        <f>IF(TableBoilerInput[[#This Row],[Pre-Tune Min code Boiler Efficiency]]&lt;&gt;"",TableBoilerInput[[#This Row],[Pre-Tune Min code Boiler Efficiency]]+0.02,"")</f>
        <v>0.77</v>
      </c>
      <c r="K17" s="82"/>
      <c r="L17" s="83"/>
      <c r="M17" s="80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7" s="81">
        <f>TableBoilerInput[[#This Row],[Actual Therm Savings]]*2</f>
        <v>0</v>
      </c>
    </row>
    <row r="18" spans="1:14" x14ac:dyDescent="0.25">
      <c r="A18" s="48"/>
      <c r="B18" s="27"/>
      <c r="C18" s="27"/>
      <c r="D18" s="58"/>
      <c r="E18" s="27"/>
      <c r="F18" s="49"/>
      <c r="G18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18" s="76">
        <v>1.3</v>
      </c>
      <c r="I18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8" s="77">
        <f>IF(TableBoilerInput[[#This Row],[Pre-Tune Min code Boiler Efficiency]]&lt;&gt;"",TableBoilerInput[[#This Row],[Pre-Tune Min code Boiler Efficiency]]+0.02,"")</f>
        <v>0.77</v>
      </c>
      <c r="K18" s="82"/>
      <c r="L18" s="84"/>
      <c r="M18" s="85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8" s="81">
        <f>TableBoilerInput[[#This Row],[Actual Therm Savings]]*2</f>
        <v>0</v>
      </c>
    </row>
    <row r="19" spans="1:14" x14ac:dyDescent="0.25">
      <c r="A19" s="48"/>
      <c r="B19" s="27"/>
      <c r="C19" s="27"/>
      <c r="D19" s="58"/>
      <c r="E19" s="27"/>
      <c r="F19" s="49"/>
      <c r="G19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19" s="76">
        <v>1.3</v>
      </c>
      <c r="I19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19" s="77">
        <f>IF(TableBoilerInput[[#This Row],[Pre-Tune Min code Boiler Efficiency]]&lt;&gt;"",TableBoilerInput[[#This Row],[Pre-Tune Min code Boiler Efficiency]]+0.02,"")</f>
        <v>0.77</v>
      </c>
      <c r="K19" s="82"/>
      <c r="L19" s="84"/>
      <c r="M19" s="85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19" s="81">
        <f>TableBoilerInput[[#This Row],[Actual Therm Savings]]*2</f>
        <v>0</v>
      </c>
    </row>
    <row r="20" spans="1:14" x14ac:dyDescent="0.25">
      <c r="A20" s="48"/>
      <c r="B20" s="27"/>
      <c r="C20" s="27"/>
      <c r="D20" s="58"/>
      <c r="E20" s="27"/>
      <c r="F20" s="49"/>
      <c r="G20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20" s="76">
        <v>1.3</v>
      </c>
      <c r="I20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0" s="77">
        <f>IF(TableBoilerInput[[#This Row],[Pre-Tune Min code Boiler Efficiency]]&lt;&gt;"",TableBoilerInput[[#This Row],[Pre-Tune Min code Boiler Efficiency]]+0.02,"")</f>
        <v>0.77</v>
      </c>
      <c r="K20" s="82"/>
      <c r="L20" s="84"/>
      <c r="M20" s="85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0" s="81">
        <f>TableBoilerInput[[#This Row],[Actual Therm Savings]]*2</f>
        <v>0</v>
      </c>
    </row>
    <row r="21" spans="1:14" x14ac:dyDescent="0.25">
      <c r="A21" s="48"/>
      <c r="B21" s="27"/>
      <c r="C21" s="27"/>
      <c r="D21" s="58"/>
      <c r="E21" s="27"/>
      <c r="F21" s="49"/>
      <c r="G21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21" s="76">
        <v>1.3</v>
      </c>
      <c r="I21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1" s="77">
        <f>IF(TableBoilerInput[[#This Row],[Pre-Tune Min code Boiler Efficiency]]&lt;&gt;"",TableBoilerInput[[#This Row],[Pre-Tune Min code Boiler Efficiency]]+0.02,"")</f>
        <v>0.77</v>
      </c>
      <c r="K21" s="82"/>
      <c r="L21" s="84"/>
      <c r="M21" s="85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1" s="81">
        <f>TableBoilerInput[[#This Row],[Actual Therm Savings]]*2</f>
        <v>0</v>
      </c>
    </row>
    <row r="22" spans="1:14" x14ac:dyDescent="0.25">
      <c r="A22" s="48"/>
      <c r="B22" s="27"/>
      <c r="C22" s="27"/>
      <c r="D22" s="58"/>
      <c r="E22" s="27"/>
      <c r="F22" s="49"/>
      <c r="G22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22" s="76">
        <v>1.3</v>
      </c>
      <c r="I22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2" s="77">
        <f>IF(TableBoilerInput[[#This Row],[Pre-Tune Min code Boiler Efficiency]]&lt;&gt;"",TableBoilerInput[[#This Row],[Pre-Tune Min code Boiler Efficiency]]+0.02,"")</f>
        <v>0.77</v>
      </c>
      <c r="K22" s="82"/>
      <c r="L22" s="84"/>
      <c r="M22" s="85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2" s="81">
        <f>TableBoilerInput[[#This Row],[Actual Therm Savings]]*2</f>
        <v>0</v>
      </c>
    </row>
    <row r="23" spans="1:14" x14ac:dyDescent="0.25">
      <c r="A23" s="48"/>
      <c r="B23" s="27"/>
      <c r="C23" s="27"/>
      <c r="D23" s="58"/>
      <c r="E23" s="27"/>
      <c r="F23" s="49"/>
      <c r="G23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23" s="76">
        <v>1.3</v>
      </c>
      <c r="I23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3" s="77">
        <f>IF(TableBoilerInput[[#This Row],[Pre-Tune Min code Boiler Efficiency]]&lt;&gt;"",TableBoilerInput[[#This Row],[Pre-Tune Min code Boiler Efficiency]]+0.02,"")</f>
        <v>0.77</v>
      </c>
      <c r="K23" s="82"/>
      <c r="L23" s="84"/>
      <c r="M23" s="85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3" s="81">
        <f>TableBoilerInput[[#This Row],[Actual Therm Savings]]*2</f>
        <v>0</v>
      </c>
    </row>
    <row r="24" spans="1:14" ht="15.75" thickBot="1" x14ac:dyDescent="0.3">
      <c r="A24" s="50"/>
      <c r="B24" s="51"/>
      <c r="C24" s="51"/>
      <c r="D24" s="59"/>
      <c r="E24" s="51"/>
      <c r="F24" s="52"/>
      <c r="G24" s="75">
        <f>IFERROR(IF(TableBoilerInput[[#This Row],[End Use (select one)]]="Process Load",TableBoilerInput[[#This Row],[Annual Hours of Operation (required for Process Loads)]],INDEX(TableEFLH_Commercial[EFLH_Heating],MATCH(_xlfn.CONCAT(Facility_Size,Facility_Type,System_Type),TableEFLH_Commercial[ConCatenatedName],0))),0)</f>
        <v>0</v>
      </c>
      <c r="H24" s="76">
        <v>1.3</v>
      </c>
      <c r="I24" s="76">
        <f>LOOKUP(TableBoilerInput[[#This Row],[Fuel Input Rating (MBH)]],IF(TableBoilerInput[[#This Row],[Boiler Type (select one)]] = "Hot Water",Buildings!$F$30:$F$31, IF(TableBoilerInput[[#This Row],[Boiler Type (select one)]] = "Steam - Natural Draft", Buildings!$F$34:$F$35,Buildings!$F$32:$F$33)), IF(TableBoilerInput[[#This Row],[Boiler Type (select one)]] = "Hot Water", Buildings!$H$30:$H$31, IF(TableBoilerInput[[#This Row],[Boiler Type (select one)]] = "Steam - Natural Draft", Buildings!$H$34:$H$35, Buildings!$H$32:$H$33)))</f>
        <v>0.75</v>
      </c>
      <c r="J24" s="77">
        <f>IF(TableBoilerInput[[#This Row],[Pre-Tune Min code Boiler Efficiency]]&lt;&gt;"",TableBoilerInput[[#This Row],[Pre-Tune Min code Boiler Efficiency]]+0.02,"")</f>
        <v>0.77</v>
      </c>
      <c r="K24" s="86"/>
      <c r="L24" s="87"/>
      <c r="M24" s="85">
        <f>IFERROR(TableBoilerInput[[#This Row],[Fuel Input Rating (MBH)]]/100/TableBoilerInput[[#This Row],[Load Factor]]*(1-TableBoilerInput[[#This Row],[Actual Pre-Tune Boiler Efficiency]]/TableBoilerInput[[#This Row],[Actual Post-Tune Boiler Efficiency]])*TableBoilerInput[[#This Row],[Equivalent Full-Load Heating Hours]],0)</f>
        <v>0</v>
      </c>
      <c r="N24" s="81">
        <f>TableBoilerInput[[#This Row],[Actual Therm Savings]]*2</f>
        <v>0</v>
      </c>
    </row>
    <row r="27" spans="1:14" x14ac:dyDescent="0.25">
      <c r="M27" s="73">
        <f>SUM(TableBoilerInput[Actual Therm Savings])</f>
        <v>0</v>
      </c>
      <c r="N27" s="74">
        <f>SUM(TableBoilerInput[Actual Incentive])</f>
        <v>0</v>
      </c>
    </row>
  </sheetData>
  <sheetProtection algorithmName="SHA-512" hashValue="CXc+XTAGUywSOFXzhZTJ9+pMJkKoKlo6b/SAom2/J58uIkCs0qi5tbTVudmb0Wu5xIDVUyJkMd9UyRf3cJ/zqw==" saltValue="6SK8tL1xDv8s08LisFJHhA==" spinCount="100000" sheet="1" selectLockedCells="1"/>
  <phoneticPr fontId="1" type="noConversion"/>
  <conditionalFormatting sqref="D16:D17">
    <cfRule type="expression" dxfId="38" priority="8">
      <formula>D16=""</formula>
    </cfRule>
  </conditionalFormatting>
  <conditionalFormatting sqref="A16:A24">
    <cfRule type="expression" dxfId="37" priority="21">
      <formula>A16=""</formula>
    </cfRule>
  </conditionalFormatting>
  <conditionalFormatting sqref="B16:C24">
    <cfRule type="expression" dxfId="36" priority="20">
      <formula>B16=""</formula>
    </cfRule>
  </conditionalFormatting>
  <conditionalFormatting sqref="A15">
    <cfRule type="expression" dxfId="35" priority="18">
      <formula>A15=""</formula>
    </cfRule>
  </conditionalFormatting>
  <conditionalFormatting sqref="E15:F24">
    <cfRule type="expression" dxfId="34" priority="11">
      <formula>E15=""</formula>
    </cfRule>
  </conditionalFormatting>
  <conditionalFormatting sqref="B15:C15">
    <cfRule type="expression" dxfId="33" priority="9">
      <formula>B15=""</formula>
    </cfRule>
  </conditionalFormatting>
  <conditionalFormatting sqref="D15">
    <cfRule type="expression" dxfId="32" priority="7">
      <formula>D15=""</formula>
    </cfRule>
  </conditionalFormatting>
  <conditionalFormatting sqref="D19:D20">
    <cfRule type="expression" dxfId="31" priority="6">
      <formula>D19=""</formula>
    </cfRule>
  </conditionalFormatting>
  <conditionalFormatting sqref="D18">
    <cfRule type="expression" dxfId="30" priority="5">
      <formula>D18=""</formula>
    </cfRule>
  </conditionalFormatting>
  <conditionalFormatting sqref="D22:D23">
    <cfRule type="expression" dxfId="29" priority="4">
      <formula>D22=""</formula>
    </cfRule>
  </conditionalFormatting>
  <conditionalFormatting sqref="D21">
    <cfRule type="expression" dxfId="28" priority="3">
      <formula>D21=""</formula>
    </cfRule>
  </conditionalFormatting>
  <conditionalFormatting sqref="D24">
    <cfRule type="expression" dxfId="27" priority="1">
      <formula>D24=""</formula>
    </cfRule>
  </conditionalFormatting>
  <dataValidations xWindow="1138" yWindow="651" count="2">
    <dataValidation type="whole" allowBlank="1" showInputMessage="1" showErrorMessage="1" sqref="E15:E24" xr:uid="{A1639FD0-5524-4662-A3FD-DC77A5C16A75}">
      <formula1>1</formula1>
      <formula2>99999999</formula2>
    </dataValidation>
    <dataValidation type="whole" allowBlank="1" showErrorMessage="1" sqref="F15:F24" xr:uid="{1AE125FB-DCE9-4E37-A155-B4FE5AB231A8}">
      <formula1>0</formula1>
      <formula2>8760</formula2>
    </dataValidation>
  </dataValidations>
  <pageMargins left="0.7" right="0.7" top="0.75" bottom="0.75" header="0.3" footer="0.3"/>
  <pageSetup orientation="portrait" horizontalDpi="300" verticalDpi="300" r:id="rId1"/>
  <headerFooter>
    <oddFooter>&amp;C_x000D_&amp;1#&amp;"Calibri"&amp;22&amp;K0073CF INTERNAL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138" yWindow="651" count="2">
        <x14:dataValidation type="list" allowBlank="1" showInputMessage="1" showErrorMessage="1" xr:uid="{B6D1D4FE-7B38-4764-B78C-C888CCC7C38A}">
          <x14:formula1>
            <xm:f>Buildings!$G$2:$G$4</xm:f>
          </x14:formula1>
          <xm:sqref>D15:D24</xm:sqref>
        </x14:dataValidation>
        <x14:dataValidation type="list" allowBlank="1" showInputMessage="1" showErrorMessage="1" xr:uid="{A6C9465B-87A1-4653-8900-EF0365168DFE}">
          <x14:formula1>
            <xm:f>Buildings!$M$2:$M$3</xm:f>
          </x14:formula1>
          <xm:sqref>C15:C24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A68D8-8553-4695-BD7B-D5CEB5BC69FD}">
  <sheetPr codeName="Sheet4"/>
  <dimension ref="A1:R54"/>
  <sheetViews>
    <sheetView topLeftCell="A2" zoomScaleNormal="100" workbookViewId="0">
      <selection activeCell="T10" sqref="T10"/>
    </sheetView>
  </sheetViews>
  <sheetFormatPr defaultRowHeight="15" x14ac:dyDescent="0.25"/>
  <cols>
    <col min="1" max="1" width="22.7109375" bestFit="1" customWidth="1"/>
    <col min="2" max="2" width="10.85546875" bestFit="1" customWidth="1"/>
    <col min="6" max="6" width="7.42578125" customWidth="1"/>
    <col min="7" max="7" width="17.140625" customWidth="1"/>
    <col min="9" max="10" width="17" customWidth="1"/>
    <col min="11" max="11" width="13.85546875" bestFit="1" customWidth="1"/>
    <col min="12" max="12" width="42.42578125" bestFit="1" customWidth="1"/>
    <col min="13" max="13" width="26.5703125" bestFit="1" customWidth="1"/>
    <col min="14" max="17" width="0" hidden="1" customWidth="1"/>
  </cols>
  <sheetData>
    <row r="1" spans="1:7" x14ac:dyDescent="0.25">
      <c r="A1" t="s">
        <v>53</v>
      </c>
    </row>
    <row r="3" spans="1:7" ht="29.45" customHeight="1" x14ac:dyDescent="0.25">
      <c r="A3" s="1" t="s">
        <v>54</v>
      </c>
      <c r="B3" s="25" t="s">
        <v>55</v>
      </c>
      <c r="C3" s="25" t="s">
        <v>56</v>
      </c>
      <c r="D3" s="25" t="s">
        <v>57</v>
      </c>
      <c r="E3" s="25" t="s">
        <v>58</v>
      </c>
      <c r="F3" s="25" t="s">
        <v>59</v>
      </c>
      <c r="G3" s="25" t="s">
        <v>60</v>
      </c>
    </row>
    <row r="4" spans="1:7" x14ac:dyDescent="0.25">
      <c r="A4" s="2">
        <f>INDEX(TableBoilerInput[Boiler Make &amp; Model],ROW()-3)</f>
        <v>0</v>
      </c>
      <c r="B4">
        <f>INDEX(TableBoilerInput[Fuel Input Rating (MBH)],ROW()-3)</f>
        <v>0</v>
      </c>
      <c r="C4" s="26">
        <f>INDEX(TableBoilerInput[Pre-Tune Min code Boiler Efficiency],ROW()-3)</f>
        <v>0.75</v>
      </c>
      <c r="D4" s="26">
        <f>INDEX(TableBoilerInput[Post-Tune Min Code Boiler Efficiency],ROW()-3)</f>
        <v>0.77</v>
      </c>
      <c r="E4">
        <f>INDEX(TableBoilerInput[Equivalent Full-Load Heating Hours],ROW()-3)</f>
        <v>0</v>
      </c>
      <c r="F4">
        <f>INDEX(TableBoilerInput[Load Factor],ROW()-3)</f>
        <v>1.3</v>
      </c>
      <c r="G4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5" spans="1:7" x14ac:dyDescent="0.25">
      <c r="A5" s="2">
        <f>INDEX(TableBoilerInput[Boiler Make &amp; Model],ROW()-3)</f>
        <v>0</v>
      </c>
      <c r="B5">
        <f>INDEX(TableBoilerInput[Fuel Input Rating (MBH)],ROW()-3)</f>
        <v>0</v>
      </c>
      <c r="C5" s="26">
        <f>INDEX(TableBoilerInput[Pre-Tune Min code Boiler Efficiency],ROW()-3)</f>
        <v>0.75</v>
      </c>
      <c r="D5" s="26">
        <f>INDEX(TableBoilerInput[Post-Tune Min Code Boiler Efficiency],ROW()-3)</f>
        <v>0.77</v>
      </c>
      <c r="E5">
        <f>INDEX(TableBoilerInput[Equivalent Full-Load Heating Hours],ROW()-3)</f>
        <v>0</v>
      </c>
      <c r="F5">
        <f>INDEX(TableBoilerInput[Load Factor],ROW()-3)</f>
        <v>1.3</v>
      </c>
      <c r="G5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6" spans="1:7" x14ac:dyDescent="0.25">
      <c r="A6" s="2">
        <f>INDEX(TableBoilerInput[Boiler Make &amp; Model],ROW()-3)</f>
        <v>0</v>
      </c>
      <c r="B6">
        <f>INDEX(TableBoilerInput[Fuel Input Rating (MBH)],ROW()-3)</f>
        <v>0</v>
      </c>
      <c r="C6" s="26">
        <f>INDEX(TableBoilerInput[Pre-Tune Min code Boiler Efficiency],ROW()-3)</f>
        <v>0.75</v>
      </c>
      <c r="D6" s="26">
        <f>INDEX(TableBoilerInput[Post-Tune Min Code Boiler Efficiency],ROW()-3)</f>
        <v>0.77</v>
      </c>
      <c r="E6">
        <f>INDEX(TableBoilerInput[Equivalent Full-Load Heating Hours],ROW()-3)</f>
        <v>0</v>
      </c>
      <c r="F6">
        <f>INDEX(TableBoilerInput[Load Factor],ROW()-3)</f>
        <v>1.3</v>
      </c>
      <c r="G6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7" spans="1:7" x14ac:dyDescent="0.25">
      <c r="A7" s="2">
        <f>INDEX(TableBoilerInput[Boiler Make &amp; Model],ROW()-3)</f>
        <v>0</v>
      </c>
      <c r="B7">
        <f>INDEX(TableBoilerInput[Fuel Input Rating (MBH)],ROW()-3)</f>
        <v>0</v>
      </c>
      <c r="C7" s="26">
        <f>INDEX(TableBoilerInput[Pre-Tune Min code Boiler Efficiency],ROW()-3)</f>
        <v>0.75</v>
      </c>
      <c r="D7" s="26">
        <f>INDEX(TableBoilerInput[Post-Tune Min Code Boiler Efficiency],ROW()-3)</f>
        <v>0.77</v>
      </c>
      <c r="E7">
        <f>INDEX(TableBoilerInput[Equivalent Full-Load Heating Hours],ROW()-3)</f>
        <v>0</v>
      </c>
      <c r="F7">
        <f>INDEX(TableBoilerInput[Load Factor],ROW()-3)</f>
        <v>1.3</v>
      </c>
      <c r="G7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8" spans="1:7" x14ac:dyDescent="0.25">
      <c r="A8" s="2">
        <f>INDEX(TableBoilerInput[Boiler Make &amp; Model],ROW()-3)</f>
        <v>0</v>
      </c>
      <c r="B8">
        <f>INDEX(TableBoilerInput[Fuel Input Rating (MBH)],ROW()-3)</f>
        <v>0</v>
      </c>
      <c r="C8" s="26">
        <f>INDEX(TableBoilerInput[Pre-Tune Min code Boiler Efficiency],ROW()-3)</f>
        <v>0.75</v>
      </c>
      <c r="D8" s="26">
        <f>INDEX(TableBoilerInput[Post-Tune Min Code Boiler Efficiency],ROW()-3)</f>
        <v>0.77</v>
      </c>
      <c r="E8">
        <f>INDEX(TableBoilerInput[Equivalent Full-Load Heating Hours],ROW()-3)</f>
        <v>0</v>
      </c>
      <c r="F8">
        <f>INDEX(TableBoilerInput[Load Factor],ROW()-3)</f>
        <v>1.3</v>
      </c>
      <c r="G8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9" spans="1:7" x14ac:dyDescent="0.25">
      <c r="A9" s="2">
        <f>INDEX(TableBoilerInput[Boiler Make &amp; Model],ROW()-3)</f>
        <v>0</v>
      </c>
      <c r="B9">
        <f>INDEX(TableBoilerInput[Fuel Input Rating (MBH)],ROW()-3)</f>
        <v>0</v>
      </c>
      <c r="C9" s="26">
        <f>INDEX(TableBoilerInput[Pre-Tune Min code Boiler Efficiency],ROW()-3)</f>
        <v>0.75</v>
      </c>
      <c r="D9" s="26">
        <f>INDEX(TableBoilerInput[Post-Tune Min Code Boiler Efficiency],ROW()-3)</f>
        <v>0.77</v>
      </c>
      <c r="E9">
        <f>INDEX(TableBoilerInput[Equivalent Full-Load Heating Hours],ROW()-3)</f>
        <v>0</v>
      </c>
      <c r="F9">
        <f>INDEX(TableBoilerInput[Load Factor],ROW()-3)</f>
        <v>1.3</v>
      </c>
      <c r="G9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0" spans="1:7" x14ac:dyDescent="0.25">
      <c r="A10" s="2">
        <f>INDEX(TableBoilerInput[Boiler Make &amp; Model],ROW()-3)</f>
        <v>0</v>
      </c>
      <c r="B10">
        <f>INDEX(TableBoilerInput[Fuel Input Rating (MBH)],ROW()-3)</f>
        <v>0</v>
      </c>
      <c r="C10" s="26">
        <f>INDEX(TableBoilerInput[Pre-Tune Min code Boiler Efficiency],ROW()-3)</f>
        <v>0.75</v>
      </c>
      <c r="D10" s="26">
        <f>INDEX(TableBoilerInput[Post-Tune Min Code Boiler Efficiency],ROW()-3)</f>
        <v>0.77</v>
      </c>
      <c r="E10">
        <f>INDEX(TableBoilerInput[Equivalent Full-Load Heating Hours],ROW()-3)</f>
        <v>0</v>
      </c>
      <c r="F10">
        <f>INDEX(TableBoilerInput[Load Factor],ROW()-3)</f>
        <v>1.3</v>
      </c>
      <c r="G10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1" spans="1:7" x14ac:dyDescent="0.25">
      <c r="A11" s="2">
        <f>INDEX(TableBoilerInput[Boiler Make &amp; Model],ROW()-3)</f>
        <v>0</v>
      </c>
      <c r="B11">
        <f>INDEX(TableBoilerInput[Fuel Input Rating (MBH)],ROW()-3)</f>
        <v>0</v>
      </c>
      <c r="C11" s="26">
        <f>INDEX(TableBoilerInput[Pre-Tune Min code Boiler Efficiency],ROW()-3)</f>
        <v>0.75</v>
      </c>
      <c r="D11" s="26">
        <f>INDEX(TableBoilerInput[Post-Tune Min Code Boiler Efficiency],ROW()-3)</f>
        <v>0.77</v>
      </c>
      <c r="E11">
        <f>INDEX(TableBoilerInput[Equivalent Full-Load Heating Hours],ROW()-3)</f>
        <v>0</v>
      </c>
      <c r="F11">
        <f>INDEX(TableBoilerInput[Load Factor],ROW()-3)</f>
        <v>1.3</v>
      </c>
      <c r="G11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2" spans="1:7" x14ac:dyDescent="0.25">
      <c r="A12" s="2">
        <f>INDEX(TableBoilerInput[Boiler Make &amp; Model],ROW()-3)</f>
        <v>0</v>
      </c>
      <c r="B12">
        <f>INDEX(TableBoilerInput[Fuel Input Rating (MBH)],ROW()-3)</f>
        <v>0</v>
      </c>
      <c r="C12" s="26">
        <f>INDEX(TableBoilerInput[Pre-Tune Min code Boiler Efficiency],ROW()-3)</f>
        <v>0.75</v>
      </c>
      <c r="D12" s="26">
        <f>INDEX(TableBoilerInput[Post-Tune Min Code Boiler Efficiency],ROW()-3)</f>
        <v>0.77</v>
      </c>
      <c r="E12">
        <f>INDEX(TableBoilerInput[Equivalent Full-Load Heating Hours],ROW()-3)</f>
        <v>0</v>
      </c>
      <c r="F12">
        <f>INDEX(TableBoilerInput[Load Factor],ROW()-3)</f>
        <v>1.3</v>
      </c>
      <c r="G12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3" spans="1:7" x14ac:dyDescent="0.25">
      <c r="A13" s="2">
        <f>INDEX(TableBoilerInput[Boiler Make &amp; Model],ROW()-3)</f>
        <v>0</v>
      </c>
      <c r="B13">
        <f>INDEX(TableBoilerInput[Fuel Input Rating (MBH)],ROW()-3)</f>
        <v>0</v>
      </c>
      <c r="C13" s="26">
        <f>INDEX(TableBoilerInput[Pre-Tune Min code Boiler Efficiency],ROW()-3)</f>
        <v>0.75</v>
      </c>
      <c r="D13" s="26">
        <f>INDEX(TableBoilerInput[Post-Tune Min Code Boiler Efficiency],ROW()-3)</f>
        <v>0.77</v>
      </c>
      <c r="E13">
        <f>INDEX(TableBoilerInput[Equivalent Full-Load Heating Hours],ROW()-3)</f>
        <v>0</v>
      </c>
      <c r="F13">
        <f>INDEX(TableBoilerInput[Load Factor],ROW()-3)</f>
        <v>1.3</v>
      </c>
      <c r="G13" s="4">
        <f>IFERROR((TableBoilerCalc_Pre[[#This Row],[Size MBH]]/(100*TableBoilerCalc_Pre[[#This Row],[LF]]))*(1-TableBoilerCalc_Pre[[#This Row],[Pre_Eff]]/TableBoilerCalc_Pre[[#This Row],[Post_Eff]])*TableBoilerCalc_Pre[[#This Row],[EFLH]],0)</f>
        <v>0</v>
      </c>
    </row>
    <row r="14" spans="1:7" x14ac:dyDescent="0.25">
      <c r="A14" t="s">
        <v>12</v>
      </c>
      <c r="G14" s="4">
        <f>SUBTOTAL(109,TableBoilerCalc_Pre[Total Consumption Therms])</f>
        <v>0</v>
      </c>
    </row>
    <row r="18" spans="2:18" x14ac:dyDescent="0.25">
      <c r="I18" t="s">
        <v>61</v>
      </c>
      <c r="J18" t="s">
        <v>62</v>
      </c>
      <c r="K18" t="s">
        <v>63</v>
      </c>
      <c r="L18" t="s">
        <v>64</v>
      </c>
      <c r="M18" t="s">
        <v>65</v>
      </c>
    </row>
    <row r="19" spans="2:18" x14ac:dyDescent="0.25">
      <c r="I19" t="s">
        <v>66</v>
      </c>
      <c r="J19" t="s">
        <v>67</v>
      </c>
      <c r="K19" t="s">
        <v>68</v>
      </c>
      <c r="L19" t="str">
        <f>TableEFLH_Commercial[[#This Row],[Facility Size]]&amp;TableEFLH_Commercial[[#This Row],[Facility Type]]&amp;TableEFLH_Commercial[[#This Row],[System]]</f>
        <v>Small CommercialAssemblyN/A</v>
      </c>
      <c r="M19">
        <v>588</v>
      </c>
      <c r="R19" s="104"/>
    </row>
    <row r="20" spans="2:18" x14ac:dyDescent="0.25">
      <c r="I20" t="s">
        <v>66</v>
      </c>
      <c r="J20" t="s">
        <v>69</v>
      </c>
      <c r="K20" t="s">
        <v>68</v>
      </c>
      <c r="L20" t="str">
        <f>TableEFLH_Commercial[[#This Row],[Facility Size]]&amp;TableEFLH_Commercial[[#This Row],[Facility Type]]&amp;TableEFLH_Commercial[[#This Row],[System]]</f>
        <v>Small CommercialAutoRepairN/A</v>
      </c>
      <c r="M20" s="5">
        <v>1863</v>
      </c>
      <c r="R20" s="104"/>
    </row>
    <row r="21" spans="2:18" x14ac:dyDescent="0.25">
      <c r="I21" t="s">
        <v>66</v>
      </c>
      <c r="J21" t="s">
        <v>70</v>
      </c>
      <c r="K21" t="s">
        <v>68</v>
      </c>
      <c r="L21" t="str">
        <f>TableEFLH_Commercial[[#This Row],[Facility Size]]&amp;TableEFLH_Commercial[[#This Row],[Facility Type]]&amp;TableEFLH_Commercial[[#This Row],[System]]</f>
        <v>Small CommercialBigBoxRetailN/A</v>
      </c>
      <c r="M21">
        <v>186</v>
      </c>
      <c r="N21" t="s">
        <v>71</v>
      </c>
      <c r="O21" t="s">
        <v>62</v>
      </c>
      <c r="P21" t="s">
        <v>61</v>
      </c>
      <c r="R21" s="104"/>
    </row>
    <row r="22" spans="2:18" x14ac:dyDescent="0.25">
      <c r="B22" s="91"/>
      <c r="I22" t="s">
        <v>66</v>
      </c>
      <c r="J22" t="s">
        <v>72</v>
      </c>
      <c r="K22" t="s">
        <v>68</v>
      </c>
      <c r="L22" t="str">
        <f>TableEFLH_Commercial[[#This Row],[Facility Size]]&amp;TableEFLH_Commercial[[#This Row],[Facility Type]]&amp;TableEFLH_Commercial[[#This Row],[System]]</f>
        <v>Small CommercialFastFoodRestaurantN/A</v>
      </c>
      <c r="M22">
        <v>793</v>
      </c>
      <c r="O22" t="s">
        <v>68</v>
      </c>
      <c r="P22" t="s">
        <v>73</v>
      </c>
      <c r="Q22" t="s">
        <v>66</v>
      </c>
      <c r="R22" s="104"/>
    </row>
    <row r="23" spans="2:18" x14ac:dyDescent="0.25">
      <c r="I23" t="s">
        <v>66</v>
      </c>
      <c r="J23" t="s">
        <v>74</v>
      </c>
      <c r="K23" t="s">
        <v>68</v>
      </c>
      <c r="L23" t="str">
        <f>TableEFLH_Commercial[[#This Row],[Facility Size]]&amp;TableEFLH_Commercial[[#This Row],[Facility Type]]&amp;TableEFLH_Commercial[[#This Row],[System]]</f>
        <v>Small CommercialFullServiceRestaurantN/A</v>
      </c>
      <c r="M23">
        <v>801</v>
      </c>
      <c r="O23" t="s">
        <v>75</v>
      </c>
      <c r="P23" t="s">
        <v>76</v>
      </c>
      <c r="Q23" t="s">
        <v>77</v>
      </c>
      <c r="R23" s="104"/>
    </row>
    <row r="24" spans="2:18" x14ac:dyDescent="0.25">
      <c r="I24" t="s">
        <v>66</v>
      </c>
      <c r="J24" t="s">
        <v>78</v>
      </c>
      <c r="K24" t="s">
        <v>68</v>
      </c>
      <c r="L24" t="str">
        <f>TableEFLH_Commercial[[#This Row],[Facility Size]]&amp;TableEFLH_Commercial[[#This Row],[Facility Type]]&amp;TableEFLH_Commercial[[#This Row],[System]]</f>
        <v>Small CommercialGroceryN/A</v>
      </c>
      <c r="M24">
        <v>186</v>
      </c>
      <c r="O24" t="s">
        <v>79</v>
      </c>
      <c r="P24" t="s">
        <v>80</v>
      </c>
      <c r="R24" s="104"/>
    </row>
    <row r="25" spans="2:18" x14ac:dyDescent="0.25">
      <c r="I25" t="s">
        <v>66</v>
      </c>
      <c r="J25" t="s">
        <v>81</v>
      </c>
      <c r="K25" t="s">
        <v>68</v>
      </c>
      <c r="L25" t="str">
        <f>TableEFLH_Commercial[[#This Row],[Facility Size]]&amp;TableEFLH_Commercial[[#This Row],[Facility Type]]&amp;TableEFLH_Commercial[[#This Row],[System]]</f>
        <v>Small CommercialLightIndustrialN/A</v>
      </c>
      <c r="M25">
        <v>696</v>
      </c>
      <c r="O25" t="s">
        <v>82</v>
      </c>
      <c r="P25" t="s">
        <v>83</v>
      </c>
      <c r="R25" s="104"/>
    </row>
    <row r="26" spans="2:18" x14ac:dyDescent="0.25">
      <c r="I26" t="s">
        <v>66</v>
      </c>
      <c r="J26" t="s">
        <v>84</v>
      </c>
      <c r="K26" t="s">
        <v>68</v>
      </c>
      <c r="L26" t="str">
        <f>TableEFLH_Commercial[[#This Row],[Facility Size]]&amp;TableEFLH_Commercial[[#This Row],[Facility Type]]&amp;TableEFLH_Commercial[[#This Row],[System]]</f>
        <v>Small CommercialMotelN/A</v>
      </c>
      <c r="M26">
        <v>604</v>
      </c>
      <c r="O26" t="s">
        <v>85</v>
      </c>
      <c r="P26" t="s">
        <v>86</v>
      </c>
      <c r="R26" s="104"/>
    </row>
    <row r="27" spans="2:18" x14ac:dyDescent="0.25">
      <c r="I27" t="s">
        <v>66</v>
      </c>
      <c r="J27" t="s">
        <v>87</v>
      </c>
      <c r="K27" t="s">
        <v>68</v>
      </c>
      <c r="L27" t="str">
        <f>TableEFLH_Commercial[[#This Row],[Facility Size]]&amp;TableEFLH_Commercial[[#This Row],[Facility Type]]&amp;TableEFLH_Commercial[[#This Row],[System]]</f>
        <v>Small CommercialPrimarySchoolN/A</v>
      </c>
      <c r="M27">
        <v>819</v>
      </c>
      <c r="P27" t="s">
        <v>88</v>
      </c>
      <c r="R27" s="104"/>
    </row>
    <row r="28" spans="2:18" x14ac:dyDescent="0.25">
      <c r="I28" t="s">
        <v>66</v>
      </c>
      <c r="J28" t="s">
        <v>89</v>
      </c>
      <c r="K28" t="s">
        <v>68</v>
      </c>
      <c r="L28" t="str">
        <f>TableEFLH_Commercial[[#This Row],[Facility Size]]&amp;TableEFLH_Commercial[[#This Row],[Facility Type]]&amp;TableEFLH_Commercial[[#This Row],[System]]</f>
        <v>Small CommercialReligiousWorshipN/A</v>
      </c>
      <c r="M28">
        <v>704</v>
      </c>
      <c r="P28" t="s">
        <v>90</v>
      </c>
      <c r="R28" s="104"/>
    </row>
    <row r="29" spans="2:18" x14ac:dyDescent="0.25">
      <c r="I29" t="s">
        <v>66</v>
      </c>
      <c r="J29" t="s">
        <v>91</v>
      </c>
      <c r="K29" t="s">
        <v>68</v>
      </c>
      <c r="L29" t="str">
        <f>TableEFLH_Commercial[[#This Row],[Facility Size]]&amp;TableEFLH_Commercial[[#This Row],[Facility Type]]&amp;TableEFLH_Commercial[[#This Row],[System]]</f>
        <v>Small CommercialSmallOfficeN/A</v>
      </c>
      <c r="M29">
        <v>420</v>
      </c>
      <c r="P29" t="s">
        <v>92</v>
      </c>
      <c r="R29" s="104"/>
    </row>
    <row r="30" spans="2:18" x14ac:dyDescent="0.25">
      <c r="I30" t="s">
        <v>66</v>
      </c>
      <c r="J30" t="s">
        <v>93</v>
      </c>
      <c r="K30" t="s">
        <v>68</v>
      </c>
      <c r="L30" t="str">
        <f>TableEFLH_Commercial[[#This Row],[Facility Size]]&amp;TableEFLH_Commercial[[#This Row],[Facility Type]]&amp;TableEFLH_Commercial[[#This Row],[System]]</f>
        <v>Small CommercialSmallRetailN/A</v>
      </c>
      <c r="M30">
        <v>531</v>
      </c>
      <c r="P30" t="s">
        <v>94</v>
      </c>
      <c r="R30" s="104"/>
    </row>
    <row r="31" spans="2:18" x14ac:dyDescent="0.25">
      <c r="I31" t="s">
        <v>66</v>
      </c>
      <c r="J31" t="s">
        <v>95</v>
      </c>
      <c r="K31" t="s">
        <v>68</v>
      </c>
      <c r="L31" t="str">
        <f>TableEFLH_Commercial[[#This Row],[Facility Size]]&amp;TableEFLH_Commercial[[#This Row],[Facility Type]]&amp;TableEFLH_Commercial[[#This Row],[System]]</f>
        <v>Small CommercialWarehouseN/A</v>
      </c>
      <c r="M31">
        <v>441</v>
      </c>
      <c r="P31" t="s">
        <v>96</v>
      </c>
      <c r="R31" s="104"/>
    </row>
    <row r="32" spans="2:18" x14ac:dyDescent="0.25">
      <c r="I32" t="s">
        <v>66</v>
      </c>
      <c r="J32" t="s">
        <v>97</v>
      </c>
      <c r="K32" t="s">
        <v>68</v>
      </c>
      <c r="L32" t="str">
        <f>TableEFLH_Commercial[[#This Row],[Facility Size]]&amp;TableEFLH_Commercial[[#This Row],[Facility Type]]&amp;TableEFLH_Commercial[[#This Row],[System]]</f>
        <v>Small CommercialOtherN/A</v>
      </c>
      <c r="M32">
        <v>664</v>
      </c>
      <c r="P32" t="s">
        <v>98</v>
      </c>
      <c r="R32" s="104"/>
    </row>
    <row r="33" spans="9:18" x14ac:dyDescent="0.25">
      <c r="I33" t="s">
        <v>77</v>
      </c>
      <c r="J33" t="s">
        <v>99</v>
      </c>
      <c r="K33" t="s">
        <v>75</v>
      </c>
      <c r="L33" t="str">
        <f>TableEFLH_Commercial[[#This Row],[Facility Size]]&amp;TableEFLH_Commercial[[#This Row],[Facility Type]]&amp;TableEFLH_Commercial[[#This Row],[System]]</f>
        <v>Large CommercialCommunityCollegeCAV econ</v>
      </c>
      <c r="M33">
        <v>1396</v>
      </c>
      <c r="P33" t="s">
        <v>100</v>
      </c>
      <c r="R33" s="104"/>
    </row>
    <row r="34" spans="9:18" x14ac:dyDescent="0.25">
      <c r="I34" t="s">
        <v>77</v>
      </c>
      <c r="J34" t="s">
        <v>99</v>
      </c>
      <c r="K34" t="s">
        <v>79</v>
      </c>
      <c r="L34" t="str">
        <f>TableEFLH_Commercial[[#This Row],[Facility Size]]&amp;TableEFLH_Commercial[[#This Row],[Facility Type]]&amp;TableEFLH_Commercial[[#This Row],[System]]</f>
        <v>Large CommercialCommunityCollegeCAV noecon</v>
      </c>
      <c r="M34">
        <v>1237</v>
      </c>
      <c r="P34" t="s">
        <v>101</v>
      </c>
      <c r="R34" s="104"/>
    </row>
    <row r="35" spans="9:18" x14ac:dyDescent="0.25">
      <c r="I35" t="s">
        <v>77</v>
      </c>
      <c r="J35" t="s">
        <v>99</v>
      </c>
      <c r="K35" t="s">
        <v>82</v>
      </c>
      <c r="L35" t="str">
        <f>TableEFLH_Commercial[[#This Row],[Facility Size]]&amp;TableEFLH_Commercial[[#This Row],[Facility Type]]&amp;TableEFLH_Commercial[[#This Row],[System]]</f>
        <v>Large CommercialCommunityCollegeVAV econ</v>
      </c>
      <c r="M35">
        <v>423</v>
      </c>
      <c r="P35" t="s">
        <v>102</v>
      </c>
      <c r="R35" s="104"/>
    </row>
    <row r="36" spans="9:18" x14ac:dyDescent="0.25">
      <c r="I36" t="s">
        <v>77</v>
      </c>
      <c r="J36" t="s">
        <v>103</v>
      </c>
      <c r="K36" t="s">
        <v>85</v>
      </c>
      <c r="L36" t="str">
        <f>TableEFLH_Commercial[[#This Row],[Facility Size]]&amp;TableEFLH_Commercial[[#This Row],[Facility Type]]&amp;TableEFLH_Commercial[[#This Row],[System]]</f>
        <v>Large CommercialDormitoryFan Coil</v>
      </c>
      <c r="M36">
        <v>453</v>
      </c>
      <c r="P36" t="s">
        <v>104</v>
      </c>
      <c r="R36" s="104"/>
    </row>
    <row r="37" spans="9:18" x14ac:dyDescent="0.25">
      <c r="I37" t="s">
        <v>77</v>
      </c>
      <c r="J37" t="s">
        <v>105</v>
      </c>
      <c r="K37" t="s">
        <v>75</v>
      </c>
      <c r="L37" t="str">
        <f>TableEFLH_Commercial[[#This Row],[Facility Size]]&amp;TableEFLH_Commercial[[#This Row],[Facility Type]]&amp;TableEFLH_Commercial[[#This Row],[System]]</f>
        <v>Large CommercialHighSchoolCAV econ</v>
      </c>
      <c r="M37">
        <v>879</v>
      </c>
      <c r="P37" t="s">
        <v>103</v>
      </c>
      <c r="R37" s="104"/>
    </row>
    <row r="38" spans="9:18" x14ac:dyDescent="0.25">
      <c r="I38" t="s">
        <v>77</v>
      </c>
      <c r="J38" t="s">
        <v>105</v>
      </c>
      <c r="K38" t="s">
        <v>79</v>
      </c>
      <c r="L38" t="str">
        <f>TableEFLH_Commercial[[#This Row],[Facility Size]]&amp;TableEFLH_Commercial[[#This Row],[Facility Type]]&amp;TableEFLH_Commercial[[#This Row],[System]]</f>
        <v>Large CommercialHighSchoolCAV noecon</v>
      </c>
      <c r="M38">
        <v>819</v>
      </c>
      <c r="P38" t="s">
        <v>106</v>
      </c>
      <c r="R38" s="104"/>
    </row>
    <row r="39" spans="9:18" x14ac:dyDescent="0.25">
      <c r="I39" t="s">
        <v>77</v>
      </c>
      <c r="J39" t="s">
        <v>105</v>
      </c>
      <c r="K39" t="s">
        <v>82</v>
      </c>
      <c r="L39" t="str">
        <f>TableEFLH_Commercial[[#This Row],[Facility Size]]&amp;TableEFLH_Commercial[[#This Row],[Facility Type]]&amp;TableEFLH_Commercial[[#This Row],[System]]</f>
        <v>Large CommercialHighSchoolVAV econ</v>
      </c>
      <c r="M39">
        <v>261</v>
      </c>
      <c r="P39" t="s">
        <v>107</v>
      </c>
      <c r="R39" s="104"/>
    </row>
    <row r="40" spans="9:18" x14ac:dyDescent="0.25">
      <c r="I40" t="s">
        <v>77</v>
      </c>
      <c r="J40" t="s">
        <v>107</v>
      </c>
      <c r="K40" t="s">
        <v>75</v>
      </c>
      <c r="L40" t="str">
        <f>TableEFLH_Commercial[[#This Row],[Facility Size]]&amp;TableEFLH_Commercial[[#This Row],[Facility Type]]&amp;TableEFLH_Commercial[[#This Row],[System]]</f>
        <v>Large CommercialHospitalCAV econ</v>
      </c>
      <c r="M40">
        <v>3283</v>
      </c>
      <c r="P40" t="s">
        <v>108</v>
      </c>
      <c r="R40" s="104"/>
    </row>
    <row r="41" spans="9:18" x14ac:dyDescent="0.25">
      <c r="I41" t="s">
        <v>77</v>
      </c>
      <c r="J41" t="s">
        <v>107</v>
      </c>
      <c r="K41" t="s">
        <v>79</v>
      </c>
      <c r="L41" t="str">
        <f>TableEFLH_Commercial[[#This Row],[Facility Size]]&amp;TableEFLH_Commercial[[#This Row],[Facility Type]]&amp;TableEFLH_Commercial[[#This Row],[System]]</f>
        <v>Large CommercialHospitalCAV noecon</v>
      </c>
      <c r="M41">
        <v>3059</v>
      </c>
      <c r="P41" t="s">
        <v>109</v>
      </c>
      <c r="R41" s="104"/>
    </row>
    <row r="42" spans="9:18" x14ac:dyDescent="0.25">
      <c r="I42" t="s">
        <v>77</v>
      </c>
      <c r="J42" t="s">
        <v>107</v>
      </c>
      <c r="K42" t="s">
        <v>82</v>
      </c>
      <c r="L42" t="str">
        <f>TableEFLH_Commercial[[#This Row],[Facility Size]]&amp;TableEFLH_Commercial[[#This Row],[Facility Type]]&amp;TableEFLH_Commercial[[#This Row],[System]]</f>
        <v>Large CommercialHospitalVAV econ</v>
      </c>
      <c r="M42">
        <v>289</v>
      </c>
      <c r="P42" t="s">
        <v>110</v>
      </c>
      <c r="R42" s="104"/>
    </row>
    <row r="43" spans="9:18" x14ac:dyDescent="0.25">
      <c r="I43" t="s">
        <v>77</v>
      </c>
      <c r="J43" t="s">
        <v>108</v>
      </c>
      <c r="K43" t="s">
        <v>75</v>
      </c>
      <c r="L43" t="str">
        <f>TableEFLH_Commercial[[#This Row],[Facility Size]]&amp;TableEFLH_Commercial[[#This Row],[Facility Type]]&amp;TableEFLH_Commercial[[#This Row],[System]]</f>
        <v>Large CommercialHotelCAV econ</v>
      </c>
      <c r="M43">
        <v>1050</v>
      </c>
      <c r="P43" t="s">
        <v>111</v>
      </c>
      <c r="R43" s="104"/>
    </row>
    <row r="44" spans="9:18" x14ac:dyDescent="0.25">
      <c r="I44" t="s">
        <v>77</v>
      </c>
      <c r="J44" t="s">
        <v>108</v>
      </c>
      <c r="K44" t="s">
        <v>79</v>
      </c>
      <c r="L44" t="str">
        <f>TableEFLH_Commercial[[#This Row],[Facility Size]]&amp;TableEFLH_Commercial[[#This Row],[Facility Type]]&amp;TableEFLH_Commercial[[#This Row],[System]]</f>
        <v>Large CommercialHotelCAV noecon</v>
      </c>
      <c r="M44">
        <v>734</v>
      </c>
      <c r="R44" s="104"/>
    </row>
    <row r="45" spans="9:18" x14ac:dyDescent="0.25">
      <c r="I45" t="s">
        <v>77</v>
      </c>
      <c r="J45" t="s">
        <v>108</v>
      </c>
      <c r="K45" t="s">
        <v>82</v>
      </c>
      <c r="L45" t="str">
        <f>TableEFLH_Commercial[[#This Row],[Facility Size]]&amp;TableEFLH_Commercial[[#This Row],[Facility Type]]&amp;TableEFLH_Commercial[[#This Row],[System]]</f>
        <v>Large CommercialHotelVAV econ</v>
      </c>
      <c r="M45">
        <v>223</v>
      </c>
      <c r="R45" s="104"/>
    </row>
    <row r="46" spans="9:18" x14ac:dyDescent="0.25">
      <c r="I46" t="s">
        <v>77</v>
      </c>
      <c r="J46" t="s">
        <v>112</v>
      </c>
      <c r="K46" t="s">
        <v>75</v>
      </c>
      <c r="L46" t="str">
        <f>TableEFLH_Commercial[[#This Row],[Facility Size]]&amp;TableEFLH_Commercial[[#This Row],[Facility Type]]&amp;TableEFLH_Commercial[[#This Row],[System]]</f>
        <v>Large CommercialLargeOfficeCAV econ</v>
      </c>
      <c r="M46" s="5">
        <v>1984</v>
      </c>
      <c r="R46" s="104"/>
    </row>
    <row r="47" spans="9:18" x14ac:dyDescent="0.25">
      <c r="I47" t="s">
        <v>77</v>
      </c>
      <c r="J47" t="s">
        <v>112</v>
      </c>
      <c r="K47" t="s">
        <v>79</v>
      </c>
      <c r="L47" t="str">
        <f>TableEFLH_Commercial[[#This Row],[Facility Size]]&amp;TableEFLH_Commercial[[#This Row],[Facility Type]]&amp;TableEFLH_Commercial[[#This Row],[System]]</f>
        <v>Large CommercialLargeOfficeCAV noecon</v>
      </c>
      <c r="M47" s="5">
        <v>2021</v>
      </c>
      <c r="R47" s="104"/>
    </row>
    <row r="48" spans="9:18" x14ac:dyDescent="0.25">
      <c r="I48" t="s">
        <v>77</v>
      </c>
      <c r="J48" t="s">
        <v>112</v>
      </c>
      <c r="K48" t="s">
        <v>82</v>
      </c>
      <c r="L48" t="str">
        <f>TableEFLH_Commercial[[#This Row],[Facility Size]]&amp;TableEFLH_Commercial[[#This Row],[Facility Type]]&amp;TableEFLH_Commercial[[#This Row],[System]]</f>
        <v>Large CommercialLargeOfficeVAV econ</v>
      </c>
      <c r="M48" s="5">
        <v>284</v>
      </c>
      <c r="R48" s="104"/>
    </row>
    <row r="49" spans="9:18" x14ac:dyDescent="0.25">
      <c r="I49" t="s">
        <v>77</v>
      </c>
      <c r="J49" t="s">
        <v>113</v>
      </c>
      <c r="K49" t="s">
        <v>75</v>
      </c>
      <c r="L49" t="str">
        <f>TableEFLH_Commercial[[#This Row],[Facility Size]]&amp;TableEFLH_Commercial[[#This Row],[Facility Type]]&amp;TableEFLH_Commercial[[#This Row],[System]]</f>
        <v>Large CommercialLargeRetailCAV econ</v>
      </c>
      <c r="M49" s="5">
        <v>2049</v>
      </c>
      <c r="R49" s="104"/>
    </row>
    <row r="50" spans="9:18" x14ac:dyDescent="0.25">
      <c r="I50" t="s">
        <v>77</v>
      </c>
      <c r="J50" t="s">
        <v>113</v>
      </c>
      <c r="K50" t="s">
        <v>79</v>
      </c>
      <c r="L50" t="str">
        <f>TableEFLH_Commercial[[#This Row],[Facility Size]]&amp;TableEFLH_Commercial[[#This Row],[Facility Type]]&amp;TableEFLH_Commercial[[#This Row],[System]]</f>
        <v>Large CommercialLargeRetailCAV noecon</v>
      </c>
      <c r="M50" s="5">
        <v>1983</v>
      </c>
      <c r="R50" s="104"/>
    </row>
    <row r="51" spans="9:18" x14ac:dyDescent="0.25">
      <c r="I51" t="s">
        <v>77</v>
      </c>
      <c r="J51" t="s">
        <v>113</v>
      </c>
      <c r="K51" t="s">
        <v>82</v>
      </c>
      <c r="L51" t="str">
        <f>TableEFLH_Commercial[[#This Row],[Facility Size]]&amp;TableEFLH_Commercial[[#This Row],[Facility Type]]&amp;TableEFLH_Commercial[[#This Row],[System]]</f>
        <v>Large CommercialLargeRetailVAV econ</v>
      </c>
      <c r="M51" s="5">
        <v>648</v>
      </c>
      <c r="R51" s="104"/>
    </row>
    <row r="52" spans="9:18" x14ac:dyDescent="0.25">
      <c r="I52" t="s">
        <v>77</v>
      </c>
      <c r="J52" t="s">
        <v>111</v>
      </c>
      <c r="K52" t="s">
        <v>75</v>
      </c>
      <c r="L52" t="str">
        <f>TableEFLH_Commercial[[#This Row],[Facility Size]]&amp;TableEFLH_Commercial[[#This Row],[Facility Type]]&amp;TableEFLH_Commercial[[#This Row],[System]]</f>
        <v>Large CommercialUniversityCAV econ</v>
      </c>
      <c r="M52" s="5">
        <v>1161</v>
      </c>
      <c r="R52" s="104"/>
    </row>
    <row r="53" spans="9:18" x14ac:dyDescent="0.25">
      <c r="I53" t="s">
        <v>77</v>
      </c>
      <c r="J53" t="s">
        <v>111</v>
      </c>
      <c r="K53" t="s">
        <v>79</v>
      </c>
      <c r="L53" t="str">
        <f>TableEFLH_Commercial[[#This Row],[Facility Size]]&amp;TableEFLH_Commercial[[#This Row],[Facility Type]]&amp;TableEFLH_Commercial[[#This Row],[System]]</f>
        <v>Large CommercialUniversityCAV noecon</v>
      </c>
      <c r="M53" s="5">
        <v>1077</v>
      </c>
      <c r="R53" s="104"/>
    </row>
    <row r="54" spans="9:18" x14ac:dyDescent="0.25">
      <c r="I54" t="s">
        <v>77</v>
      </c>
      <c r="J54" t="s">
        <v>111</v>
      </c>
      <c r="K54" t="s">
        <v>82</v>
      </c>
      <c r="L54" t="str">
        <f>TableEFLH_Commercial[[#This Row],[Facility Size]]&amp;TableEFLH_Commercial[[#This Row],[Facility Type]]&amp;TableEFLH_Commercial[[#This Row],[System]]</f>
        <v>Large CommercialUniversityVAV econ</v>
      </c>
      <c r="M54" s="5">
        <v>667</v>
      </c>
      <c r="R54" s="104"/>
    </row>
  </sheetData>
  <phoneticPr fontId="1" type="noConversion"/>
  <pageMargins left="0.7" right="0.7" top="0.75" bottom="0.75" header="0.3" footer="0.3"/>
  <pageSetup orientation="portrait" horizontalDpi="300" verticalDpi="300" r:id="rId1"/>
  <headerFooter>
    <oddFooter>&amp;C_x000D_&amp;1#&amp;"Calibri"&amp;22&amp;K0073CF INTERNAL</oddFooter>
  </headerFooter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E6775-C3C3-413E-8441-4F977546AD75}">
  <dimension ref="A1:M48"/>
  <sheetViews>
    <sheetView workbookViewId="0">
      <selection activeCell="D6" sqref="D6"/>
    </sheetView>
  </sheetViews>
  <sheetFormatPr defaultRowHeight="15" x14ac:dyDescent="0.25"/>
  <cols>
    <col min="1" max="1" width="50.7109375" bestFit="1" customWidth="1"/>
    <col min="2" max="2" width="22.28515625" bestFit="1" customWidth="1"/>
    <col min="3" max="3" width="16.140625" bestFit="1" customWidth="1"/>
    <col min="4" max="4" width="15.7109375" bestFit="1" customWidth="1"/>
    <col min="5" max="5" width="27.28515625" bestFit="1" customWidth="1"/>
    <col min="10" max="10" width="11.140625" bestFit="1" customWidth="1"/>
    <col min="11" max="11" width="16.140625" bestFit="1" customWidth="1"/>
    <col min="12" max="12" width="21" bestFit="1" customWidth="1"/>
    <col min="13" max="13" width="11.140625" bestFit="1" customWidth="1"/>
    <col min="14" max="14" width="4.85546875" bestFit="1" customWidth="1"/>
  </cols>
  <sheetData>
    <row r="1" spans="1:13" x14ac:dyDescent="0.25">
      <c r="A1" t="s">
        <v>3</v>
      </c>
      <c r="B1" t="s">
        <v>114</v>
      </c>
      <c r="C1" t="s">
        <v>115</v>
      </c>
      <c r="F1" t="s">
        <v>71</v>
      </c>
      <c r="G1" t="s">
        <v>116</v>
      </c>
      <c r="J1" s="3" t="s">
        <v>61</v>
      </c>
      <c r="K1" s="3" t="e">
        <f>INDEX(Buildings!$C$2:$C$48,MATCH(Summary!$D$10,Buildings!$A$2:$A$48,0))</f>
        <v>#N/A</v>
      </c>
      <c r="M1" t="s">
        <v>117</v>
      </c>
    </row>
    <row r="2" spans="1:13" x14ac:dyDescent="0.25">
      <c r="A2" t="s">
        <v>118</v>
      </c>
      <c r="B2" s="11" t="s">
        <v>69</v>
      </c>
      <c r="C2" t="s">
        <v>66</v>
      </c>
      <c r="F2" s="10" t="s">
        <v>68</v>
      </c>
      <c r="G2" t="s">
        <v>119</v>
      </c>
      <c r="J2" s="3" t="s">
        <v>62</v>
      </c>
      <c r="K2" s="3" t="e">
        <f>INDEX(Buildings!$B$2:$B$48,MATCH(Summary!$D$10,Buildings!$A$2:$A$48,0))</f>
        <v>#N/A</v>
      </c>
      <c r="M2" t="s">
        <v>120</v>
      </c>
    </row>
    <row r="3" spans="1:13" x14ac:dyDescent="0.25">
      <c r="A3" t="s">
        <v>121</v>
      </c>
      <c r="B3" s="11" t="s">
        <v>74</v>
      </c>
      <c r="C3" t="s">
        <v>66</v>
      </c>
      <c r="F3" s="9" t="s">
        <v>75</v>
      </c>
      <c r="G3" t="s">
        <v>122</v>
      </c>
      <c r="J3" s="3" t="s">
        <v>71</v>
      </c>
      <c r="K3" s="3">
        <f>Summary!D11</f>
        <v>0</v>
      </c>
      <c r="M3" t="s">
        <v>123</v>
      </c>
    </row>
    <row r="4" spans="1:13" x14ac:dyDescent="0.25">
      <c r="A4" t="s">
        <v>124</v>
      </c>
      <c r="B4" s="11" t="s">
        <v>91</v>
      </c>
      <c r="C4" t="s">
        <v>66</v>
      </c>
      <c r="F4" s="10" t="s">
        <v>79</v>
      </c>
      <c r="G4" t="s">
        <v>125</v>
      </c>
    </row>
    <row r="5" spans="1:13" x14ac:dyDescent="0.25">
      <c r="A5" t="s">
        <v>126</v>
      </c>
      <c r="B5" s="11" t="s">
        <v>74</v>
      </c>
      <c r="C5" t="s">
        <v>66</v>
      </c>
      <c r="F5" s="9" t="s">
        <v>82</v>
      </c>
    </row>
    <row r="6" spans="1:13" x14ac:dyDescent="0.25">
      <c r="A6" t="s">
        <v>127</v>
      </c>
      <c r="B6" s="12" t="s">
        <v>99</v>
      </c>
      <c r="C6" t="s">
        <v>77</v>
      </c>
      <c r="F6" s="10" t="s">
        <v>85</v>
      </c>
    </row>
    <row r="7" spans="1:13" x14ac:dyDescent="0.25">
      <c r="A7" t="s">
        <v>128</v>
      </c>
      <c r="B7" s="11" t="s">
        <v>91</v>
      </c>
      <c r="C7" t="s">
        <v>66</v>
      </c>
    </row>
    <row r="8" spans="1:13" x14ac:dyDescent="0.25">
      <c r="A8" t="s">
        <v>129</v>
      </c>
      <c r="B8" s="11" t="s">
        <v>93</v>
      </c>
      <c r="C8" t="s">
        <v>66</v>
      </c>
    </row>
    <row r="9" spans="1:13" x14ac:dyDescent="0.25">
      <c r="A9" t="s">
        <v>130</v>
      </c>
      <c r="B9" s="11" t="s">
        <v>67</v>
      </c>
      <c r="C9" t="s">
        <v>66</v>
      </c>
      <c r="K9" t="e">
        <f>_xlfn.CONCAT(Facility_Size,Facility_Type,System_Type)</f>
        <v>#N/A</v>
      </c>
    </row>
    <row r="10" spans="1:13" x14ac:dyDescent="0.25">
      <c r="A10" t="s">
        <v>131</v>
      </c>
      <c r="B10" s="12" t="s">
        <v>112</v>
      </c>
      <c r="C10" t="s">
        <v>77</v>
      </c>
    </row>
    <row r="11" spans="1:13" x14ac:dyDescent="0.25">
      <c r="A11" t="s">
        <v>103</v>
      </c>
      <c r="B11" s="13" t="s">
        <v>103</v>
      </c>
      <c r="C11" t="s">
        <v>77</v>
      </c>
    </row>
    <row r="12" spans="1:13" x14ac:dyDescent="0.25">
      <c r="A12" t="s">
        <v>132</v>
      </c>
      <c r="B12" s="11" t="s">
        <v>67</v>
      </c>
      <c r="C12" t="s">
        <v>66</v>
      </c>
    </row>
    <row r="13" spans="1:13" x14ac:dyDescent="0.25">
      <c r="A13" t="s">
        <v>133</v>
      </c>
      <c r="B13" s="11" t="s">
        <v>93</v>
      </c>
      <c r="C13" t="s">
        <v>66</v>
      </c>
    </row>
    <row r="14" spans="1:13" x14ac:dyDescent="0.25">
      <c r="A14" t="s">
        <v>134</v>
      </c>
      <c r="B14" s="11" t="s">
        <v>78</v>
      </c>
      <c r="C14" t="s">
        <v>66</v>
      </c>
    </row>
    <row r="15" spans="1:13" x14ac:dyDescent="0.25">
      <c r="A15" t="s">
        <v>135</v>
      </c>
      <c r="B15" s="11" t="s">
        <v>67</v>
      </c>
      <c r="C15" t="s">
        <v>66</v>
      </c>
    </row>
    <row r="16" spans="1:13" x14ac:dyDescent="0.25">
      <c r="A16" t="s">
        <v>107</v>
      </c>
      <c r="B16" s="12" t="s">
        <v>107</v>
      </c>
      <c r="C16" t="s">
        <v>77</v>
      </c>
    </row>
    <row r="17" spans="1:8" x14ac:dyDescent="0.25">
      <c r="A17" t="s">
        <v>136</v>
      </c>
      <c r="B17" s="11" t="s">
        <v>81</v>
      </c>
      <c r="C17" t="s">
        <v>66</v>
      </c>
    </row>
    <row r="18" spans="1:8" x14ac:dyDescent="0.25">
      <c r="A18" t="s">
        <v>137</v>
      </c>
      <c r="B18" s="11" t="s">
        <v>93</v>
      </c>
      <c r="C18" t="s">
        <v>66</v>
      </c>
    </row>
    <row r="19" spans="1:8" x14ac:dyDescent="0.25">
      <c r="A19" t="s">
        <v>138</v>
      </c>
      <c r="B19" s="12" t="s">
        <v>112</v>
      </c>
      <c r="C19" t="s">
        <v>77</v>
      </c>
    </row>
    <row r="20" spans="1:8" x14ac:dyDescent="0.25">
      <c r="A20" t="s">
        <v>139</v>
      </c>
      <c r="B20" s="12" t="s">
        <v>108</v>
      </c>
      <c r="C20" t="s">
        <v>77</v>
      </c>
    </row>
    <row r="21" spans="1:8" x14ac:dyDescent="0.25">
      <c r="A21" t="s">
        <v>140</v>
      </c>
      <c r="B21" s="11" t="s">
        <v>84</v>
      </c>
      <c r="C21" t="s">
        <v>66</v>
      </c>
    </row>
    <row r="22" spans="1:8" x14ac:dyDescent="0.25">
      <c r="A22" t="s">
        <v>141</v>
      </c>
      <c r="B22" s="12" t="s">
        <v>113</v>
      </c>
      <c r="C22" t="s">
        <v>77</v>
      </c>
    </row>
    <row r="23" spans="1:8" x14ac:dyDescent="0.25">
      <c r="A23" t="s">
        <v>142</v>
      </c>
      <c r="B23" s="11" t="s">
        <v>91</v>
      </c>
      <c r="C23" t="s">
        <v>66</v>
      </c>
    </row>
    <row r="24" spans="1:8" x14ac:dyDescent="0.25">
      <c r="A24" t="s">
        <v>143</v>
      </c>
      <c r="B24" s="11" t="s">
        <v>67</v>
      </c>
      <c r="C24" t="s">
        <v>66</v>
      </c>
    </row>
    <row r="25" spans="1:8" x14ac:dyDescent="0.25">
      <c r="A25" t="s">
        <v>144</v>
      </c>
      <c r="B25" s="11" t="s">
        <v>67</v>
      </c>
      <c r="C25" t="s">
        <v>66</v>
      </c>
    </row>
    <row r="26" spans="1:8" x14ac:dyDescent="0.25">
      <c r="A26" t="s">
        <v>145</v>
      </c>
      <c r="B26" s="12" t="s">
        <v>112</v>
      </c>
      <c r="C26" t="s">
        <v>77</v>
      </c>
    </row>
    <row r="27" spans="1:8" x14ac:dyDescent="0.25">
      <c r="A27" t="s">
        <v>146</v>
      </c>
      <c r="B27" s="11" t="s">
        <v>91</v>
      </c>
      <c r="C27" t="s">
        <v>66</v>
      </c>
    </row>
    <row r="28" spans="1:8" x14ac:dyDescent="0.25">
      <c r="A28" t="s">
        <v>147</v>
      </c>
      <c r="B28" s="11" t="s">
        <v>67</v>
      </c>
      <c r="C28" t="s">
        <v>66</v>
      </c>
    </row>
    <row r="29" spans="1:8" x14ac:dyDescent="0.25">
      <c r="A29" t="s">
        <v>148</v>
      </c>
      <c r="B29" s="11" t="s">
        <v>67</v>
      </c>
      <c r="C29" t="s">
        <v>66</v>
      </c>
      <c r="E29" t="s">
        <v>116</v>
      </c>
      <c r="F29" t="s">
        <v>149</v>
      </c>
      <c r="G29" t="s">
        <v>150</v>
      </c>
      <c r="H29" t="s">
        <v>151</v>
      </c>
    </row>
    <row r="30" spans="1:8" x14ac:dyDescent="0.25">
      <c r="A30" t="s">
        <v>152</v>
      </c>
      <c r="B30" s="11" t="s">
        <v>93</v>
      </c>
      <c r="C30" t="s">
        <v>66</v>
      </c>
      <c r="E30" t="s">
        <v>119</v>
      </c>
      <c r="F30">
        <v>0</v>
      </c>
      <c r="G30">
        <v>2500.0100000000002</v>
      </c>
      <c r="H30">
        <v>0.8</v>
      </c>
    </row>
    <row r="31" spans="1:8" x14ac:dyDescent="0.25">
      <c r="A31" t="s">
        <v>153</v>
      </c>
      <c r="B31" s="11" t="s">
        <v>81</v>
      </c>
      <c r="C31" t="s">
        <v>66</v>
      </c>
      <c r="E31" t="s">
        <v>119</v>
      </c>
      <c r="F31">
        <v>2500.0100000000002</v>
      </c>
      <c r="H31">
        <v>0.82</v>
      </c>
    </row>
    <row r="32" spans="1:8" x14ac:dyDescent="0.25">
      <c r="A32" t="s">
        <v>154</v>
      </c>
      <c r="B32" s="11" t="s">
        <v>89</v>
      </c>
      <c r="C32" t="s">
        <v>66</v>
      </c>
      <c r="E32" t="s">
        <v>125</v>
      </c>
      <c r="F32">
        <v>0</v>
      </c>
      <c r="G32">
        <v>300</v>
      </c>
      <c r="H32">
        <v>0.75</v>
      </c>
    </row>
    <row r="33" spans="1:8" x14ac:dyDescent="0.25">
      <c r="A33" t="s">
        <v>155</v>
      </c>
      <c r="B33" s="11" t="s">
        <v>74</v>
      </c>
      <c r="C33" t="s">
        <v>66</v>
      </c>
      <c r="E33" t="s">
        <v>125</v>
      </c>
      <c r="F33">
        <v>300</v>
      </c>
      <c r="H33">
        <v>0.79</v>
      </c>
    </row>
    <row r="34" spans="1:8" x14ac:dyDescent="0.25">
      <c r="A34" t="s">
        <v>156</v>
      </c>
      <c r="B34" s="11" t="s">
        <v>74</v>
      </c>
      <c r="C34" t="s">
        <v>66</v>
      </c>
      <c r="E34" t="s">
        <v>122</v>
      </c>
      <c r="F34">
        <v>0</v>
      </c>
      <c r="G34">
        <v>300</v>
      </c>
      <c r="H34">
        <v>0.75</v>
      </c>
    </row>
    <row r="35" spans="1:8" x14ac:dyDescent="0.25">
      <c r="A35" t="s">
        <v>157</v>
      </c>
      <c r="B35" s="11" t="s">
        <v>72</v>
      </c>
      <c r="C35" t="s">
        <v>66</v>
      </c>
      <c r="E35" t="s">
        <v>122</v>
      </c>
      <c r="F35">
        <v>300</v>
      </c>
      <c r="H35">
        <v>0.77</v>
      </c>
    </row>
    <row r="36" spans="1:8" x14ac:dyDescent="0.25">
      <c r="A36" t="s">
        <v>158</v>
      </c>
      <c r="B36" s="11" t="s">
        <v>70</v>
      </c>
      <c r="C36" t="s">
        <v>66</v>
      </c>
    </row>
    <row r="37" spans="1:8" x14ac:dyDescent="0.25">
      <c r="A37" t="s">
        <v>159</v>
      </c>
      <c r="B37" s="11" t="s">
        <v>93</v>
      </c>
      <c r="C37" t="s">
        <v>66</v>
      </c>
    </row>
    <row r="38" spans="1:8" x14ac:dyDescent="0.25">
      <c r="A38" t="s">
        <v>160</v>
      </c>
      <c r="B38" s="12" t="s">
        <v>105</v>
      </c>
      <c r="C38" t="s">
        <v>77</v>
      </c>
    </row>
    <row r="39" spans="1:8" x14ac:dyDescent="0.25">
      <c r="A39" t="s">
        <v>161</v>
      </c>
      <c r="B39" s="11" t="s">
        <v>87</v>
      </c>
      <c r="C39" t="s">
        <v>66</v>
      </c>
    </row>
    <row r="40" spans="1:8" x14ac:dyDescent="0.25">
      <c r="A40" t="s">
        <v>162</v>
      </c>
      <c r="B40" s="12" t="s">
        <v>99</v>
      </c>
      <c r="C40" t="s">
        <v>77</v>
      </c>
    </row>
    <row r="41" spans="1:8" x14ac:dyDescent="0.25">
      <c r="A41" t="s">
        <v>163</v>
      </c>
      <c r="B41" s="11" t="s">
        <v>93</v>
      </c>
      <c r="C41" t="s">
        <v>66</v>
      </c>
    </row>
    <row r="42" spans="1:8" x14ac:dyDescent="0.25">
      <c r="A42" t="s">
        <v>164</v>
      </c>
      <c r="B42" s="11" t="s">
        <v>67</v>
      </c>
      <c r="C42" t="s">
        <v>66</v>
      </c>
    </row>
    <row r="43" spans="1:8" x14ac:dyDescent="0.25">
      <c r="A43" t="s">
        <v>165</v>
      </c>
      <c r="B43" s="11" t="s">
        <v>67</v>
      </c>
      <c r="C43" t="s">
        <v>66</v>
      </c>
    </row>
    <row r="44" spans="1:8" x14ac:dyDescent="0.25">
      <c r="A44" t="s">
        <v>166</v>
      </c>
      <c r="B44" s="11" t="s">
        <v>67</v>
      </c>
      <c r="C44" t="s">
        <v>66</v>
      </c>
    </row>
    <row r="45" spans="1:8" x14ac:dyDescent="0.25">
      <c r="A45" t="s">
        <v>167</v>
      </c>
      <c r="B45" s="11" t="s">
        <v>95</v>
      </c>
      <c r="C45" t="s">
        <v>66</v>
      </c>
    </row>
    <row r="46" spans="1:8" x14ac:dyDescent="0.25">
      <c r="A46" t="s">
        <v>168</v>
      </c>
      <c r="B46" s="11" t="s">
        <v>97</v>
      </c>
      <c r="C46" t="s">
        <v>66</v>
      </c>
    </row>
    <row r="47" spans="1:8" x14ac:dyDescent="0.25">
      <c r="A47" t="s">
        <v>169</v>
      </c>
      <c r="B47" s="11" t="s">
        <v>81</v>
      </c>
      <c r="C47" t="s">
        <v>66</v>
      </c>
    </row>
    <row r="48" spans="1:8" x14ac:dyDescent="0.25">
      <c r="A48" t="s">
        <v>170</v>
      </c>
      <c r="B48" s="11" t="s">
        <v>81</v>
      </c>
      <c r="C48" t="s">
        <v>66</v>
      </c>
    </row>
  </sheetData>
  <sortState xmlns:xlrd2="http://schemas.microsoft.com/office/spreadsheetml/2017/richdata2" ref="A2:C60">
    <sortCondition ref="A2:A60"/>
  </sortState>
  <pageMargins left="0.7" right="0.7" top="0.75" bottom="0.75" header="0.3" footer="0.3"/>
  <pageSetup orientation="portrait" r:id="rId1"/>
  <headerFooter>
    <oddFooter>&amp;C_x000D_&amp;1#&amp;"Calibri"&amp;22&amp;K0073CF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28AF53F999944BA229D44D48909661" ma:contentTypeVersion="16" ma:contentTypeDescription="Create a new document." ma:contentTypeScope="" ma:versionID="d518ebc18769bb94972d0fdb0c580764">
  <xsd:schema xmlns:xsd="http://www.w3.org/2001/XMLSchema" xmlns:xs="http://www.w3.org/2001/XMLSchema" xmlns:p="http://schemas.microsoft.com/office/2006/metadata/properties" xmlns:ns2="768736c2-19d6-47bb-9ac3-740642f34861" xmlns:ns3="8a4296bc-d819-4b7d-bdf0-f52043404af7" targetNamespace="http://schemas.microsoft.com/office/2006/metadata/properties" ma:root="true" ma:fieldsID="347ccd2e8e4b4d24e0b2542e3b4228ac" ns2:_="" ns3:_="">
    <xsd:import namespace="768736c2-19d6-47bb-9ac3-740642f34861"/>
    <xsd:import namespace="8a4296bc-d819-4b7d-bdf0-f52043404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736c2-19d6-47bb-9ac3-740642f348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286605c-d6c9-4ea2-b44b-324d009c18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296bc-d819-4b7d-bdf0-f52043404a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a1a823c-4327-40a7-af9f-1a2369748e43}" ma:internalName="TaxCatchAll" ma:showField="CatchAllData" ma:web="8a4296bc-d819-4b7d-bdf0-f52043404a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8736c2-19d6-47bb-9ac3-740642f34861">
      <Terms xmlns="http://schemas.microsoft.com/office/infopath/2007/PartnerControls"/>
    </lcf76f155ced4ddcb4097134ff3c332f>
    <Date xmlns="768736c2-19d6-47bb-9ac3-740642f34861" xsi:nil="true"/>
    <TaxCatchAll xmlns="8a4296bc-d819-4b7d-bdf0-f52043404af7" xsi:nil="true"/>
  </documentManagement>
</p:properties>
</file>

<file path=customXml/itemProps1.xml><?xml version="1.0" encoding="utf-8"?>
<ds:datastoreItem xmlns:ds="http://schemas.openxmlformats.org/officeDocument/2006/customXml" ds:itemID="{76431A96-2465-4723-9B09-D1CA58CECA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8736c2-19d6-47bb-9ac3-740642f34861"/>
    <ds:schemaRef ds:uri="8a4296bc-d819-4b7d-bdf0-f52043404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5BADB8-1E55-46E0-A98C-62DA8E12CB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86BE9-7311-407C-822E-25110013E73B}">
  <ds:schemaRefs>
    <ds:schemaRef ds:uri="http://purl.org/dc/elements/1.1/"/>
    <ds:schemaRef ds:uri="http://schemas.microsoft.com/office/2006/metadata/properties"/>
    <ds:schemaRef ds:uri="8a4296bc-d819-4b7d-bdf0-f52043404af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68736c2-19d6-47bb-9ac3-740642f348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</vt:lpstr>
      <vt:lpstr>Guidelines</vt:lpstr>
      <vt:lpstr>Boiler Input</vt:lpstr>
      <vt:lpstr>Boiler Calc</vt:lpstr>
      <vt:lpstr>Buildings</vt:lpstr>
      <vt:lpstr>Facility_Size</vt:lpstr>
      <vt:lpstr>Facility_Type</vt:lpstr>
      <vt:lpstr>ListFacilitySize</vt:lpstr>
      <vt:lpstr>ListFacilityType</vt:lpstr>
      <vt:lpstr>ListSystemType</vt:lpstr>
      <vt:lpstr>System_Type</vt:lpstr>
      <vt:lpstr>Total_Savings__Therms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Bronfman, Alexander</dc:creator>
  <cp:keywords/>
  <dc:description/>
  <cp:lastModifiedBy>Johnson, Erik M.</cp:lastModifiedBy>
  <cp:revision/>
  <dcterms:created xsi:type="dcterms:W3CDTF">2020-05-14T13:54:58Z</dcterms:created>
  <dcterms:modified xsi:type="dcterms:W3CDTF">2023-12-08T20:13:28Z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0x010100D728AF53F999944BA229D44D48909661</vt:lpwstr>
  </property>
  <property fmtid="{D5CDD505-2E9C-101B-9397-08002B2CF9AE}" pid="3" name="MSIP_Label_c80150e9-b158-425e-97d7-738cc28226d7_Enabled">
    <vt:lpwstr>true</vt:lpwstr>
  </property>
  <property fmtid="{D5CDD505-2E9C-101B-9397-08002B2CF9AE}" pid="4" name="MSIP_Label_c80150e9-b158-425e-97d7-738cc28226d7_SetDate">
    <vt:lpwstr>2023-10-31T13:01:41Z</vt:lpwstr>
  </property>
  <property fmtid="{D5CDD505-2E9C-101B-9397-08002B2CF9AE}" pid="5" name="MSIP_Label_c80150e9-b158-425e-97d7-738cc28226d7_Method">
    <vt:lpwstr>Standard</vt:lpwstr>
  </property>
  <property fmtid="{D5CDD505-2E9C-101B-9397-08002B2CF9AE}" pid="6" name="MSIP_Label_c80150e9-b158-425e-97d7-738cc28226d7_Name">
    <vt:lpwstr>Internal - Privacy</vt:lpwstr>
  </property>
  <property fmtid="{D5CDD505-2E9C-101B-9397-08002B2CF9AE}" pid="7" name="MSIP_Label_c80150e9-b158-425e-97d7-738cc28226d7_SiteId">
    <vt:lpwstr>e9aef9b7-25ca-4518-a881-33e546773136</vt:lpwstr>
  </property>
  <property fmtid="{D5CDD505-2E9C-101B-9397-08002B2CF9AE}" pid="8" name="MSIP_Label_c80150e9-b158-425e-97d7-738cc28226d7_ActionId">
    <vt:lpwstr>1a414c66-fd95-4a07-8799-ca46e2e367eb</vt:lpwstr>
  </property>
  <property fmtid="{D5CDD505-2E9C-101B-9397-08002B2CF9AE}" pid="9" name="MSIP_Label_c80150e9-b158-425e-97d7-738cc28226d7_ContentBits">
    <vt:lpwstr>2</vt:lpwstr>
  </property>
  <property fmtid="{D5CDD505-2E9C-101B-9397-08002B2CF9AE}" pid="10" name="MediaServiceImageTags">
    <vt:lpwstr/>
  </property>
</Properties>
</file>